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charts/chart24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drawings/drawing35.xml" ContentType="application/vnd.openxmlformats-officedocument.drawingml.chartshapes+xml"/>
  <Override PartName="/xl/charts/chart2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drawings/drawing40.xml" ContentType="application/vnd.openxmlformats-officedocument.drawingml.chartshapes+xml"/>
  <Override PartName="/xl/charts/chart32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5.xml" ContentType="application/vnd.openxmlformats-officedocument.drawingml.chart+xml"/>
  <Override PartName="/xl/drawings/drawing45.xml" ContentType="application/vnd.openxmlformats-officedocument.drawingml.chartshapes+xml"/>
  <Override PartName="/xl/charts/chart36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9.xml" ContentType="application/vnd.openxmlformats-officedocument.drawingml.chart+xml"/>
  <Override PartName="/xl/drawings/drawing50.xml" ContentType="application/vnd.openxmlformats-officedocument.drawingml.chartshapes+xml"/>
  <Override PartName="/xl/charts/chart40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43.xml" ContentType="application/vnd.openxmlformats-officedocument.drawingml.chart+xml"/>
  <Override PartName="/xl/drawings/drawing55.xml" ContentType="application/vnd.openxmlformats-officedocument.drawingml.chartshapes+xml"/>
  <Override PartName="/xl/charts/chart44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47.xml" ContentType="application/vnd.openxmlformats-officedocument.drawingml.chart+xml"/>
  <Override PartName="/xl/drawings/drawing60.xml" ContentType="application/vnd.openxmlformats-officedocument.drawingml.chartshapes+xml"/>
  <Override PartName="/xl/charts/chart48.xml" ContentType="application/vnd.openxmlformats-officedocument.drawingml.chart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51.xml" ContentType="application/vnd.openxmlformats-officedocument.drawingml.chart+xml"/>
  <Override PartName="/xl/drawings/drawing65.xml" ContentType="application/vnd.openxmlformats-officedocument.drawingml.chartshapes+xml"/>
  <Override PartName="/xl/charts/chart52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55.xml" ContentType="application/vnd.openxmlformats-officedocument.drawingml.chart+xml"/>
  <Override PartName="/xl/drawings/drawing70.xml" ContentType="application/vnd.openxmlformats-officedocument.drawingml.chartshapes+xml"/>
  <Override PartName="/xl/charts/chart56.xml" ContentType="application/vnd.openxmlformats-officedocument.drawingml.chart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59.xml" ContentType="application/vnd.openxmlformats-officedocument.drawingml.chart+xml"/>
  <Override PartName="/xl/drawings/drawing75.xml" ContentType="application/vnd.openxmlformats-officedocument.drawingml.chartshapes+xml"/>
  <Override PartName="/xl/charts/chart60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63.xml" ContentType="application/vnd.openxmlformats-officedocument.drawingml.chart+xml"/>
  <Override PartName="/xl/drawings/drawing80.xml" ContentType="application/vnd.openxmlformats-officedocument.drawingml.chartshapes+xml"/>
  <Override PartName="/xl/charts/chart64.xml" ContentType="application/vnd.openxmlformats-officedocument.drawingml.chart+xml"/>
  <Override PartName="/xl/drawings/drawing81.xml" ContentType="application/vnd.openxmlformats-officedocument.drawingml.chartshapes+xml"/>
  <Override PartName="/xl/drawings/drawing82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67.xml" ContentType="application/vnd.openxmlformats-officedocument.drawingml.chart+xml"/>
  <Override PartName="/xl/drawings/drawing85.xml" ContentType="application/vnd.openxmlformats-officedocument.drawingml.chartshapes+xml"/>
  <Override PartName="/xl/charts/chart68.xml" ContentType="application/vnd.openxmlformats-officedocument.drawingml.chart+xml"/>
  <Override PartName="/xl/drawings/drawing86.xml" ContentType="application/vnd.openxmlformats-officedocument.drawingml.chartshapes+xml"/>
  <Override PartName="/xl/drawings/drawing8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1.xml" ContentType="application/vnd.openxmlformats-officedocument.drawingml.chart+xml"/>
  <Override PartName="/xl/drawings/drawing90.xml" ContentType="application/vnd.openxmlformats-officedocument.drawingml.chartshapes+xml"/>
  <Override PartName="/xl/charts/chart72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93.xml" ContentType="application/vnd.openxmlformats-officedocument.drawingml.chartshapes+xml"/>
  <Override PartName="/xl/drawings/drawing94.xml" ContentType="application/vnd.openxmlformats-officedocument.drawing+xml"/>
  <Override PartName="/xl/charts/chart75.xml" ContentType="application/vnd.openxmlformats-officedocument.drawingml.chart+xml"/>
  <Override PartName="/xl/drawings/drawing95.xml" ContentType="application/vnd.openxmlformats-officedocument.drawingml.chartshapes+xml"/>
  <Override PartName="/xl/charts/chart76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98.xml" ContentType="application/vnd.openxmlformats-officedocument.drawingml.chartshapes+xml"/>
  <Override PartName="/xl/drawings/drawing99.xml" ContentType="application/vnd.openxmlformats-officedocument.drawing+xml"/>
  <Override PartName="/xl/charts/chart79.xml" ContentType="application/vnd.openxmlformats-officedocument.drawingml.chart+xml"/>
  <Override PartName="/xl/drawings/drawing100.xml" ContentType="application/vnd.openxmlformats-officedocument.drawingml.chartshapes+xml"/>
  <Override PartName="/xl/charts/chart80.xml" ContentType="application/vnd.openxmlformats-officedocument.drawingml.chart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103.xml" ContentType="application/vnd.openxmlformats-officedocument.drawingml.chartshapes+xml"/>
  <Override PartName="/xl/drawings/drawing104.xml" ContentType="application/vnd.openxmlformats-officedocument.drawing+xml"/>
  <Override PartName="/xl/charts/chart83.xml" ContentType="application/vnd.openxmlformats-officedocument.drawingml.chart+xml"/>
  <Override PartName="/xl/drawings/drawing105.xml" ContentType="application/vnd.openxmlformats-officedocument.drawingml.chartshapes+xml"/>
  <Override PartName="/xl/charts/chart84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108.xml" ContentType="application/vnd.openxmlformats-officedocument.drawingml.chartshapes+xml"/>
  <Override PartName="/xl/drawings/drawing109.xml" ContentType="application/vnd.openxmlformats-officedocument.drawing+xml"/>
  <Override PartName="/xl/charts/chart87.xml" ContentType="application/vnd.openxmlformats-officedocument.drawingml.chart+xml"/>
  <Override PartName="/xl/drawings/drawing110.xml" ContentType="application/vnd.openxmlformats-officedocument.drawingml.chartshapes+xml"/>
  <Override PartName="/xl/charts/chart88.xml" ContentType="application/vnd.openxmlformats-officedocument.drawingml.chart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91.xml" ContentType="application/vnd.openxmlformats-officedocument.drawingml.chart+xml"/>
  <Override PartName="/xl/drawings/drawing115.xml" ContentType="application/vnd.openxmlformats-officedocument.drawingml.chartshapes+xml"/>
  <Override PartName="/xl/charts/chart92.xml" ContentType="application/vnd.openxmlformats-officedocument.drawingml.chart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118.xml" ContentType="application/vnd.openxmlformats-officedocument.drawingml.chartshapes+xml"/>
  <Override PartName="/xl/drawings/drawing119.xml" ContentType="application/vnd.openxmlformats-officedocument.drawing+xml"/>
  <Override PartName="/xl/charts/chart95.xml" ContentType="application/vnd.openxmlformats-officedocument.drawingml.chart+xml"/>
  <Override PartName="/xl/drawings/drawing120.xml" ContentType="application/vnd.openxmlformats-officedocument.drawingml.chartshapes+xml"/>
  <Override PartName="/xl/charts/chart96.xml" ContentType="application/vnd.openxmlformats-officedocument.drawingml.chart+xml"/>
  <Override PartName="/xl/drawings/drawing121.xml" ContentType="application/vnd.openxmlformats-officedocument.drawingml.chartshapes+xml"/>
  <Override PartName="/xl/drawings/drawing122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99.xml" ContentType="application/vnd.openxmlformats-officedocument.drawingml.chart+xml"/>
  <Override PartName="/xl/drawings/drawing125.xml" ContentType="application/vnd.openxmlformats-officedocument.drawingml.chartshapes+xml"/>
  <Override PartName="/xl/charts/chart100.xml" ContentType="application/vnd.openxmlformats-officedocument.drawingml.chart+xml"/>
  <Override PartName="/xl/drawings/drawing126.xml" ContentType="application/vnd.openxmlformats-officedocument.drawingml.chartshapes+xml"/>
  <Override PartName="/xl/drawings/drawing127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128.xml" ContentType="application/vnd.openxmlformats-officedocument.drawingml.chartshapes+xml"/>
  <Override PartName="/xl/drawings/drawing129.xml" ContentType="application/vnd.openxmlformats-officedocument.drawing+xml"/>
  <Override PartName="/xl/charts/chart103.xml" ContentType="application/vnd.openxmlformats-officedocument.drawingml.chart+xml"/>
  <Override PartName="/xl/drawings/drawing130.xml" ContentType="application/vnd.openxmlformats-officedocument.drawingml.chartshapes+xml"/>
  <Override PartName="/xl/charts/chart104.xml" ContentType="application/vnd.openxmlformats-officedocument.drawingml.chart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107.xml" ContentType="application/vnd.openxmlformats-officedocument.drawingml.chart+xml"/>
  <Override PartName="/xl/drawings/drawing135.xml" ContentType="application/vnd.openxmlformats-officedocument.drawingml.chartshapes+xml"/>
  <Override PartName="/xl/charts/chart108.xml" ContentType="application/vnd.openxmlformats-officedocument.drawingml.chart+xml"/>
  <Override PartName="/xl/drawings/drawing136.xml" ContentType="application/vnd.openxmlformats-officedocument.drawingml.chartshapes+xml"/>
  <Override PartName="/xl/drawings/drawing137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138.xml" ContentType="application/vnd.openxmlformats-officedocument.drawingml.chartshapes+xml"/>
  <Override PartName="/xl/drawings/drawing139.xml" ContentType="application/vnd.openxmlformats-officedocument.drawing+xml"/>
  <Override PartName="/xl/charts/chart111.xml" ContentType="application/vnd.openxmlformats-officedocument.drawingml.chart+xml"/>
  <Override PartName="/xl/drawings/drawing140.xml" ContentType="application/vnd.openxmlformats-officedocument.drawingml.chartshapes+xml"/>
  <Override PartName="/xl/charts/chart112.xml" ContentType="application/vnd.openxmlformats-officedocument.drawingml.chart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143.xml" ContentType="application/vnd.openxmlformats-officedocument.drawingml.chartshapes+xml"/>
  <Override PartName="/xl/drawings/drawing144.xml" ContentType="application/vnd.openxmlformats-officedocument.drawing+xml"/>
  <Override PartName="/xl/charts/chart115.xml" ContentType="application/vnd.openxmlformats-officedocument.drawingml.chart+xml"/>
  <Override PartName="/xl/drawings/drawing145.xml" ContentType="application/vnd.openxmlformats-officedocument.drawingml.chartshapes+xml"/>
  <Override PartName="/xl/charts/chart116.xml" ContentType="application/vnd.openxmlformats-officedocument.drawingml.chart+xml"/>
  <Override PartName="/xl/drawings/drawing146.xml" ContentType="application/vnd.openxmlformats-officedocument.drawingml.chartshapes+xml"/>
  <Override PartName="/xl/drawings/drawing147.xml" ContentType="application/vnd.openxmlformats-officedocument.drawing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148.xml" ContentType="application/vnd.openxmlformats-officedocument.drawingml.chartshapes+xml"/>
  <Override PartName="/xl/drawings/drawing149.xml" ContentType="application/vnd.openxmlformats-officedocument.drawing+xml"/>
  <Override PartName="/xl/charts/chart119.xml" ContentType="application/vnd.openxmlformats-officedocument.drawingml.chart+xml"/>
  <Override PartName="/xl/drawings/drawing150.xml" ContentType="application/vnd.openxmlformats-officedocument.drawingml.chartshapes+xml"/>
  <Override PartName="/xl/charts/chart120.xml" ContentType="application/vnd.openxmlformats-officedocument.drawingml.chart+xml"/>
  <Override PartName="/xl/drawings/drawing151.xml" ContentType="application/vnd.openxmlformats-officedocument.drawingml.chartshapes+xml"/>
  <Override PartName="/xl/drawings/drawing152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153.xml" ContentType="application/vnd.openxmlformats-officedocument.drawingml.chartshapes+xml"/>
  <Override PartName="/xl/drawings/drawing154.xml" ContentType="application/vnd.openxmlformats-officedocument.drawing+xml"/>
  <Override PartName="/xl/charts/chart123.xml" ContentType="application/vnd.openxmlformats-officedocument.drawingml.chart+xml"/>
  <Override PartName="/xl/drawings/drawing155.xml" ContentType="application/vnd.openxmlformats-officedocument.drawingml.chartshapes+xml"/>
  <Override PartName="/xl/charts/chart124.xml" ContentType="application/vnd.openxmlformats-officedocument.drawingml.chart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158.xml" ContentType="application/vnd.openxmlformats-officedocument.drawingml.chartshapes+xml"/>
  <Override PartName="/xl/drawings/drawing159.xml" ContentType="application/vnd.openxmlformats-officedocument.drawing+xml"/>
  <Override PartName="/xl/charts/chart127.xml" ContentType="application/vnd.openxmlformats-officedocument.drawingml.chart+xml"/>
  <Override PartName="/xl/drawings/drawing160.xml" ContentType="application/vnd.openxmlformats-officedocument.drawingml.chartshapes+xml"/>
  <Override PartName="/xl/charts/chart128.xml" ContentType="application/vnd.openxmlformats-officedocument.drawingml.chart+xml"/>
  <Override PartName="/xl/drawings/drawing1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hisWorkbook" autoCompressPictures="0"/>
  <workbookProtection workbookPassword="E52C" lockStructure="1"/>
  <bookViews>
    <workbookView showSheetTabs="0" xWindow="0" yWindow="0" windowWidth="20730" windowHeight="11760" tabRatio="872" activeTab="19"/>
  </bookViews>
  <sheets>
    <sheet name="MP-CP" sheetId="49" r:id="rId1"/>
    <sheet name="100005G1" sheetId="52" r:id="rId2"/>
    <sheet name="100005G2" sheetId="130" r:id="rId3"/>
    <sheet name="100005G3" sheetId="152" r:id="rId4"/>
    <sheet name="100005G4" sheetId="153" r:id="rId5"/>
    <sheet name="100005G5" sheetId="154" r:id="rId6"/>
    <sheet name="100005G6" sheetId="155" r:id="rId7"/>
    <sheet name="100008G1" sheetId="150" r:id="rId8"/>
    <sheet name="100008G2" sheetId="151" r:id="rId9"/>
    <sheet name="100008G3" sheetId="156" r:id="rId10"/>
    <sheet name="100008G4" sheetId="157" r:id="rId11"/>
    <sheet name="100008G5" sheetId="158" r:id="rId12"/>
    <sheet name="100008G6" sheetId="159" r:id="rId13"/>
    <sheet name="100011G1" sheetId="160" r:id="rId14"/>
    <sheet name="100011G2" sheetId="161" r:id="rId15"/>
    <sheet name="100011G3" sheetId="162" r:id="rId16"/>
    <sheet name="100011G4" sheetId="163" r:id="rId17"/>
    <sheet name="100011G5" sheetId="164" r:id="rId18"/>
    <sheet name="100011G6" sheetId="166" r:id="rId19"/>
    <sheet name="200020G1" sheetId="167" r:id="rId20"/>
    <sheet name="200020G2" sheetId="168" r:id="rId21"/>
    <sheet name="200020G3" sheetId="169" r:id="rId22"/>
    <sheet name="200020G4" sheetId="170" r:id="rId23"/>
    <sheet name="200020G5" sheetId="171" r:id="rId24"/>
    <sheet name="200020G6" sheetId="172" r:id="rId25"/>
    <sheet name="200031G1" sheetId="173" r:id="rId26"/>
    <sheet name="200031G2" sheetId="174" r:id="rId27"/>
    <sheet name="200031G3" sheetId="175" r:id="rId28"/>
    <sheet name="200031G4" sheetId="176" r:id="rId29"/>
    <sheet name="200031G5" sheetId="177" r:id="rId30"/>
    <sheet name="200031G6" sheetId="178" r:id="rId31"/>
    <sheet name="300069G1" sheetId="179" r:id="rId32"/>
    <sheet name="300069G2" sheetId="180" r:id="rId33"/>
    <sheet name="300069G3" sheetId="181" r:id="rId34"/>
    <sheet name="300069G4" sheetId="182" r:id="rId35"/>
    <sheet name="300069G5" sheetId="183" r:id="rId36"/>
    <sheet name="300069G6" sheetId="184" r:id="rId37"/>
    <sheet name="300113G1" sheetId="185" r:id="rId38"/>
    <sheet name="300113G2" sheetId="186" r:id="rId39"/>
    <sheet name="300113G3" sheetId="187" r:id="rId40"/>
    <sheet name="300113G4" sheetId="188" r:id="rId41"/>
    <sheet name="300113G5" sheetId="189" r:id="rId42"/>
    <sheet name="300113G6" sheetId="190" r:id="rId43"/>
    <sheet name="400180G1" sheetId="191" r:id="rId44"/>
    <sheet name="400180G2" sheetId="192" r:id="rId45"/>
    <sheet name="400180G3" sheetId="193" r:id="rId46"/>
    <sheet name="400180G4" sheetId="194" r:id="rId47"/>
    <sheet name="400180G5" sheetId="195" r:id="rId48"/>
    <sheet name="400180G6" sheetId="196" r:id="rId49"/>
    <sheet name="400250G1" sheetId="197" r:id="rId50"/>
    <sheet name="400250G2" sheetId="199" r:id="rId51"/>
    <sheet name="400250G3" sheetId="200" r:id="rId52"/>
    <sheet name="400250G4" sheetId="201" r:id="rId53"/>
    <sheet name="400250G5" sheetId="202" r:id="rId54"/>
    <sheet name="400250G6" sheetId="203" r:id="rId55"/>
    <sheet name="500351G1" sheetId="205" r:id="rId56"/>
    <sheet name="500351G2" sheetId="206" r:id="rId57"/>
    <sheet name="500351G3" sheetId="207" r:id="rId58"/>
    <sheet name="500351G4" sheetId="208" r:id="rId59"/>
    <sheet name="500525G1" sheetId="204" r:id="rId60"/>
    <sheet name="500525G2" sheetId="209" r:id="rId61"/>
    <sheet name="500525G3" sheetId="210" r:id="rId62"/>
    <sheet name="500525G4" sheetId="211" r:id="rId63"/>
    <sheet name="500525G5" sheetId="212" r:id="rId64"/>
    <sheet name="500525G6" sheetId="213" r:id="rId65"/>
  </sheets>
  <definedNames>
    <definedName name="_xlnm.Print_Area" localSheetId="1">'100005G1'!$A$1:$J$55</definedName>
    <definedName name="_xlnm.Print_Area" localSheetId="2">'100005G2'!$A$1:$J$55</definedName>
    <definedName name="_xlnm.Print_Area" localSheetId="3">'100005G3'!$A$1:$J$55</definedName>
    <definedName name="_xlnm.Print_Area" localSheetId="4">'100005G4'!$A$1:$J$55</definedName>
    <definedName name="_xlnm.Print_Area" localSheetId="5">'100005G5'!$A$1:$J$55</definedName>
    <definedName name="_xlnm.Print_Area" localSheetId="6">'100005G6'!$A$1:$J$55</definedName>
    <definedName name="_xlnm.Print_Area" localSheetId="7">'100008G1'!$A$1:$J$55</definedName>
    <definedName name="_xlnm.Print_Area" localSheetId="8">'100008G2'!$A$1:$J$55</definedName>
    <definedName name="_xlnm.Print_Area" localSheetId="9">'100008G3'!$A$1:$J$55</definedName>
    <definedName name="_xlnm.Print_Area" localSheetId="10">'100008G4'!$A$1:$J$55</definedName>
    <definedName name="_xlnm.Print_Area" localSheetId="11">'100008G5'!$A$1:$J$55</definedName>
    <definedName name="_xlnm.Print_Area" localSheetId="12">'100008G6'!$A$1:$J$55</definedName>
    <definedName name="_xlnm.Print_Area" localSheetId="13">'100011G1'!$A$1:$J$55</definedName>
    <definedName name="_xlnm.Print_Area" localSheetId="14">'100011G2'!$A$1:$J$55</definedName>
    <definedName name="_xlnm.Print_Area" localSheetId="15">'100011G3'!$A$1:$J$55</definedName>
    <definedName name="_xlnm.Print_Area" localSheetId="16">'100011G4'!$A$1:$J$55</definedName>
    <definedName name="_xlnm.Print_Area" localSheetId="17">'100011G5'!$A$1:$J$55</definedName>
    <definedName name="_xlnm.Print_Area" localSheetId="18">'100011G6'!$A$1:$J$55</definedName>
    <definedName name="_xlnm.Print_Area" localSheetId="19">'200020G1'!$A$1:$J$55</definedName>
    <definedName name="_xlnm.Print_Area" localSheetId="20">'200020G2'!$A$1:$J$55</definedName>
    <definedName name="_xlnm.Print_Area" localSheetId="21">'200020G3'!$A$1:$J$55</definedName>
    <definedName name="_xlnm.Print_Area" localSheetId="22">'200020G4'!$A$1:$J$55</definedName>
    <definedName name="_xlnm.Print_Area" localSheetId="23">'200020G5'!$A$1:$J$55</definedName>
    <definedName name="_xlnm.Print_Area" localSheetId="24">'200020G6'!$A$1:$J$55</definedName>
    <definedName name="_xlnm.Print_Area" localSheetId="25">'200031G1'!$A$1:$J$55</definedName>
    <definedName name="_xlnm.Print_Area" localSheetId="26">'200031G2'!$A$1:$J$55</definedName>
    <definedName name="_xlnm.Print_Area" localSheetId="27">'200031G3'!$A$1:$J$55</definedName>
    <definedName name="_xlnm.Print_Area" localSheetId="28">'200031G4'!$A$1:$J$55</definedName>
    <definedName name="_xlnm.Print_Area" localSheetId="29">'200031G5'!$A$1:$J$55</definedName>
    <definedName name="_xlnm.Print_Area" localSheetId="30">'200031G6'!$A$1:$J$55</definedName>
    <definedName name="_xlnm.Print_Area" localSheetId="31">'300069G1'!$A$1:$J$55</definedName>
    <definedName name="_xlnm.Print_Area" localSheetId="32">'300069G2'!$A$1:$J$55</definedName>
    <definedName name="_xlnm.Print_Area" localSheetId="33">'300069G3'!$A$1:$J$55</definedName>
    <definedName name="_xlnm.Print_Area" localSheetId="34">'300069G4'!$A$1:$J$55</definedName>
    <definedName name="_xlnm.Print_Area" localSheetId="35">'300069G5'!$A$1:$J$55</definedName>
    <definedName name="_xlnm.Print_Area" localSheetId="36">'300069G6'!$A$1:$J$55</definedName>
    <definedName name="_xlnm.Print_Area" localSheetId="37">'300113G1'!$A$1:$J$55</definedName>
    <definedName name="_xlnm.Print_Area" localSheetId="38">'300113G2'!$A$1:$J$55</definedName>
    <definedName name="_xlnm.Print_Area" localSheetId="39">'300113G3'!$A$1:$J$55</definedName>
    <definedName name="_xlnm.Print_Area" localSheetId="40">'300113G4'!$A$1:$J$55</definedName>
    <definedName name="_xlnm.Print_Area" localSheetId="41">'300113G5'!$A$1:$J$55</definedName>
    <definedName name="_xlnm.Print_Area" localSheetId="42">'300113G6'!$A$1:$J$55</definedName>
    <definedName name="_xlnm.Print_Area" localSheetId="43">'400180G1'!$A$1:$J$55</definedName>
    <definedName name="_xlnm.Print_Area" localSheetId="44">'400180G2'!$A$1:$J$55</definedName>
    <definedName name="_xlnm.Print_Area" localSheetId="45">'400180G3'!$A$1:$J$55</definedName>
    <definedName name="_xlnm.Print_Area" localSheetId="46">'400180G4'!$A$1:$J$55</definedName>
    <definedName name="_xlnm.Print_Area" localSheetId="47">'400180G5'!$A$1:$J$55</definedName>
    <definedName name="_xlnm.Print_Area" localSheetId="48">'400180G6'!$A$1:$J$55</definedName>
    <definedName name="_xlnm.Print_Area" localSheetId="49">'400250G1'!$A$1:$J$55</definedName>
    <definedName name="_xlnm.Print_Area" localSheetId="50">'400250G2'!$A$1:$J$55</definedName>
    <definedName name="_xlnm.Print_Area" localSheetId="51">'400250G3'!$A$1:$J$55</definedName>
    <definedName name="_xlnm.Print_Area" localSheetId="52">'400250G4'!$A$1:$J$55</definedName>
    <definedName name="_xlnm.Print_Area" localSheetId="53">'400250G5'!$A$1:$J$55</definedName>
    <definedName name="_xlnm.Print_Area" localSheetId="54">'400250G6'!$A$1:$J$55</definedName>
    <definedName name="_xlnm.Print_Area" localSheetId="55">'500351G1'!$A$1:$J$55</definedName>
    <definedName name="_xlnm.Print_Area" localSheetId="56">'500351G2'!$A$1:$J$55</definedName>
    <definedName name="_xlnm.Print_Area" localSheetId="57">'500351G3'!$A$1:$J$55</definedName>
    <definedName name="_xlnm.Print_Area" localSheetId="58">'500351G4'!$A$1:$J$55</definedName>
    <definedName name="_xlnm.Print_Area" localSheetId="59">'500525G1'!$A$1:$J$55</definedName>
    <definedName name="_xlnm.Print_Area" localSheetId="60">'500525G2'!$A$1:$J$55</definedName>
    <definedName name="_xlnm.Print_Area" localSheetId="61">'500525G3'!$A$1:$J$55</definedName>
    <definedName name="_xlnm.Print_Area" localSheetId="62">'500525G4'!$A$1:$J$55</definedName>
    <definedName name="_xlnm.Print_Area" localSheetId="63">'500525G5'!$A$1:$J$55</definedName>
    <definedName name="_xlnm.Print_Area" localSheetId="64">'500525G6'!$A$1:$J$55</definedName>
    <definedName name="_xlnm.Print_Area" localSheetId="0">'MP-CP'!$B$6:$N$52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1" i="49" l="1"/>
  <c r="AA20" i="49"/>
  <c r="B166" i="49"/>
  <c r="B155" i="49"/>
  <c r="B156" i="49"/>
  <c r="W18" i="49"/>
  <c r="B157" i="49"/>
  <c r="B158" i="49"/>
  <c r="X18" i="49"/>
  <c r="E144" i="49"/>
  <c r="G144" i="49"/>
  <c r="I144" i="49"/>
  <c r="K144" i="49"/>
  <c r="D139" i="49"/>
  <c r="F139" i="49"/>
  <c r="H139" i="49"/>
  <c r="J139" i="49"/>
  <c r="L139" i="49"/>
  <c r="N139" i="49"/>
  <c r="D108" i="49"/>
  <c r="F108" i="49"/>
  <c r="H108" i="49"/>
  <c r="J108" i="49"/>
  <c r="L108" i="49"/>
  <c r="N108" i="49"/>
  <c r="D144" i="49"/>
  <c r="F144" i="49"/>
  <c r="H144" i="49"/>
  <c r="J144" i="49"/>
  <c r="C144" i="49"/>
  <c r="E139" i="49"/>
  <c r="G139" i="49"/>
  <c r="I139" i="49"/>
  <c r="K139" i="49"/>
  <c r="M139" i="49"/>
  <c r="C139" i="49"/>
  <c r="E108" i="49"/>
  <c r="G108" i="49"/>
  <c r="I108" i="49"/>
  <c r="K108" i="49"/>
  <c r="M108" i="49"/>
  <c r="C108" i="49"/>
  <c r="B159" i="49"/>
  <c r="B163" i="49"/>
  <c r="B161" i="49"/>
  <c r="B165" i="49"/>
  <c r="B160" i="49"/>
  <c r="B162" i="49"/>
  <c r="B164" i="49"/>
  <c r="P24" i="213"/>
  <c r="P23" i="213"/>
  <c r="P22" i="213"/>
  <c r="P9" i="213"/>
  <c r="O9" i="213"/>
  <c r="O4" i="213"/>
  <c r="E4" i="213"/>
  <c r="O2" i="213"/>
  <c r="O10" i="213"/>
  <c r="E2" i="213"/>
  <c r="P24" i="212"/>
  <c r="P23" i="212"/>
  <c r="P22" i="212"/>
  <c r="P9" i="212"/>
  <c r="O9" i="212"/>
  <c r="O4" i="212"/>
  <c r="E3" i="212"/>
  <c r="O2" i="212"/>
  <c r="O10" i="212"/>
  <c r="E2" i="212"/>
  <c r="P40" i="211"/>
  <c r="O40" i="211"/>
  <c r="P24" i="211"/>
  <c r="P23" i="211"/>
  <c r="P22" i="211"/>
  <c r="P9" i="211"/>
  <c r="O9" i="211"/>
  <c r="O4" i="211"/>
  <c r="E4" i="211"/>
  <c r="O2" i="211"/>
  <c r="O10" i="211"/>
  <c r="E2" i="211"/>
  <c r="P40" i="210"/>
  <c r="O40" i="210"/>
  <c r="P24" i="210"/>
  <c r="P23" i="210"/>
  <c r="P22" i="210"/>
  <c r="P9" i="210"/>
  <c r="O9" i="210"/>
  <c r="O4" i="210"/>
  <c r="E3" i="210"/>
  <c r="O2" i="210"/>
  <c r="O10" i="210"/>
  <c r="E2" i="210"/>
  <c r="P40" i="209"/>
  <c r="O40" i="209"/>
  <c r="P24" i="209"/>
  <c r="P23" i="209"/>
  <c r="P22" i="209"/>
  <c r="P9" i="209"/>
  <c r="O9" i="209"/>
  <c r="O4" i="209"/>
  <c r="E4" i="209"/>
  <c r="O2" i="209"/>
  <c r="O5" i="209"/>
  <c r="E2" i="209"/>
  <c r="P40" i="204"/>
  <c r="O40" i="204"/>
  <c r="Q40" i="204"/>
  <c r="P24" i="204"/>
  <c r="P23" i="204"/>
  <c r="P22" i="204"/>
  <c r="P9" i="204"/>
  <c r="O9" i="204"/>
  <c r="O4" i="204"/>
  <c r="E3" i="204"/>
  <c r="O2" i="204"/>
  <c r="O10" i="204"/>
  <c r="E2" i="204"/>
  <c r="P2" i="210"/>
  <c r="P10" i="210"/>
  <c r="P2" i="209"/>
  <c r="Q40" i="209"/>
  <c r="O5" i="211"/>
  <c r="O5" i="212"/>
  <c r="O5" i="204"/>
  <c r="P2" i="204"/>
  <c r="P10" i="204"/>
  <c r="O5" i="210"/>
  <c r="P2" i="211"/>
  <c r="P10" i="211"/>
  <c r="P2" i="212"/>
  <c r="P10" i="212"/>
  <c r="O5" i="213"/>
  <c r="P24" i="208"/>
  <c r="P23" i="208"/>
  <c r="P22" i="208"/>
  <c r="P9" i="208"/>
  <c r="O9" i="208"/>
  <c r="O4" i="208"/>
  <c r="E4" i="208"/>
  <c r="O2" i="208"/>
  <c r="O10" i="208"/>
  <c r="E2" i="208"/>
  <c r="P24" i="207"/>
  <c r="P23" i="207"/>
  <c r="P22" i="207"/>
  <c r="P9" i="207"/>
  <c r="O9" i="207"/>
  <c r="O4" i="207"/>
  <c r="E3" i="207"/>
  <c r="O2" i="207"/>
  <c r="O10" i="207"/>
  <c r="E2" i="207"/>
  <c r="P24" i="206"/>
  <c r="P23" i="206"/>
  <c r="P22" i="206"/>
  <c r="P9" i="206"/>
  <c r="O9" i="206"/>
  <c r="O4" i="206"/>
  <c r="E4" i="206"/>
  <c r="O2" i="206"/>
  <c r="O10" i="206"/>
  <c r="E2" i="206"/>
  <c r="P24" i="205"/>
  <c r="P23" i="205"/>
  <c r="P22" i="205"/>
  <c r="P9" i="205"/>
  <c r="O9" i="205"/>
  <c r="O4" i="205"/>
  <c r="E3" i="205"/>
  <c r="O2" i="205"/>
  <c r="O10" i="205"/>
  <c r="E2" i="205"/>
  <c r="P40" i="203"/>
  <c r="O40" i="203"/>
  <c r="P24" i="203"/>
  <c r="P23" i="203"/>
  <c r="P22" i="203"/>
  <c r="P9" i="203"/>
  <c r="O9" i="203"/>
  <c r="O4" i="203"/>
  <c r="E4" i="203"/>
  <c r="O2" i="203"/>
  <c r="O10" i="203"/>
  <c r="E2" i="203"/>
  <c r="P40" i="202"/>
  <c r="O40" i="202"/>
  <c r="P24" i="202"/>
  <c r="P23" i="202"/>
  <c r="P22" i="202"/>
  <c r="P9" i="202"/>
  <c r="O9" i="202"/>
  <c r="O4" i="202"/>
  <c r="E3" i="202"/>
  <c r="O2" i="202"/>
  <c r="O10" i="202"/>
  <c r="E2" i="202"/>
  <c r="P40" i="201"/>
  <c r="O40" i="201"/>
  <c r="P24" i="201"/>
  <c r="P23" i="201"/>
  <c r="P22" i="201"/>
  <c r="P9" i="201"/>
  <c r="O9" i="201"/>
  <c r="O4" i="201"/>
  <c r="E4" i="201"/>
  <c r="O2" i="201"/>
  <c r="O10" i="201"/>
  <c r="E2" i="201"/>
  <c r="P40" i="200"/>
  <c r="O40" i="200"/>
  <c r="P24" i="200"/>
  <c r="P23" i="200"/>
  <c r="P22" i="200"/>
  <c r="P9" i="200"/>
  <c r="O9" i="200"/>
  <c r="O4" i="200"/>
  <c r="E3" i="200"/>
  <c r="O2" i="200"/>
  <c r="O10" i="200"/>
  <c r="E2" i="200"/>
  <c r="P40" i="199"/>
  <c r="O40" i="199"/>
  <c r="Q40" i="199"/>
  <c r="P24" i="199"/>
  <c r="P23" i="199"/>
  <c r="P22" i="199"/>
  <c r="P9" i="199"/>
  <c r="O9" i="199"/>
  <c r="O4" i="199"/>
  <c r="E4" i="199"/>
  <c r="O2" i="199"/>
  <c r="O10" i="199"/>
  <c r="E2" i="199"/>
  <c r="P40" i="197"/>
  <c r="O40" i="197"/>
  <c r="Q40" i="197"/>
  <c r="P24" i="197"/>
  <c r="P23" i="197"/>
  <c r="P22" i="197"/>
  <c r="P9" i="197"/>
  <c r="O9" i="197"/>
  <c r="O4" i="197"/>
  <c r="E3" i="197"/>
  <c r="O2" i="197"/>
  <c r="O10" i="197"/>
  <c r="E2" i="197"/>
  <c r="P24" i="196"/>
  <c r="P23" i="196"/>
  <c r="P22" i="196"/>
  <c r="P9" i="196"/>
  <c r="O9" i="196"/>
  <c r="O4" i="196"/>
  <c r="E4" i="196"/>
  <c r="O2" i="196"/>
  <c r="O10" i="196"/>
  <c r="E2" i="196"/>
  <c r="P24" i="195"/>
  <c r="P23" i="195"/>
  <c r="P22" i="195"/>
  <c r="P9" i="195"/>
  <c r="O9" i="195"/>
  <c r="O4" i="195"/>
  <c r="E3" i="195"/>
  <c r="O2" i="195"/>
  <c r="O10" i="195"/>
  <c r="E2" i="195"/>
  <c r="P24" i="194"/>
  <c r="P23" i="194"/>
  <c r="P22" i="194"/>
  <c r="P9" i="194"/>
  <c r="O9" i="194"/>
  <c r="O4" i="194"/>
  <c r="E4" i="194"/>
  <c r="O2" i="194"/>
  <c r="O10" i="194"/>
  <c r="E2" i="194"/>
  <c r="P24" i="193"/>
  <c r="P23" i="193"/>
  <c r="P22" i="193"/>
  <c r="P9" i="193"/>
  <c r="O9" i="193"/>
  <c r="O4" i="193"/>
  <c r="E3" i="193"/>
  <c r="O2" i="193"/>
  <c r="O10" i="193"/>
  <c r="E2" i="193"/>
  <c r="P24" i="192"/>
  <c r="P23" i="192"/>
  <c r="P22" i="192"/>
  <c r="P9" i="192"/>
  <c r="O9" i="192"/>
  <c r="O4" i="192"/>
  <c r="E4" i="192"/>
  <c r="O2" i="192"/>
  <c r="P2" i="192"/>
  <c r="E2" i="192"/>
  <c r="P24" i="191"/>
  <c r="P23" i="191"/>
  <c r="P22" i="191"/>
  <c r="P9" i="191"/>
  <c r="O9" i="191"/>
  <c r="O4" i="191"/>
  <c r="E3" i="191"/>
  <c r="O2" i="191"/>
  <c r="O10" i="191"/>
  <c r="E2" i="191"/>
  <c r="P40" i="190"/>
  <c r="O40" i="190"/>
  <c r="P24" i="190"/>
  <c r="P23" i="190"/>
  <c r="P22" i="190"/>
  <c r="P9" i="190"/>
  <c r="O9" i="190"/>
  <c r="O4" i="190"/>
  <c r="E4" i="190"/>
  <c r="O2" i="190"/>
  <c r="O10" i="190"/>
  <c r="E2" i="190"/>
  <c r="P40" i="189"/>
  <c r="O40" i="189"/>
  <c r="P24" i="189"/>
  <c r="P23" i="189"/>
  <c r="P22" i="189"/>
  <c r="P9" i="189"/>
  <c r="O9" i="189"/>
  <c r="O4" i="189"/>
  <c r="E3" i="189"/>
  <c r="O2" i="189"/>
  <c r="O10" i="189"/>
  <c r="E2" i="189"/>
  <c r="P40" i="188"/>
  <c r="O40" i="188"/>
  <c r="P24" i="188"/>
  <c r="P23" i="188"/>
  <c r="P22" i="188"/>
  <c r="P9" i="188"/>
  <c r="O9" i="188"/>
  <c r="O4" i="188"/>
  <c r="E4" i="188"/>
  <c r="O2" i="188"/>
  <c r="O10" i="188"/>
  <c r="E2" i="188"/>
  <c r="P40" i="187"/>
  <c r="O40" i="187"/>
  <c r="P24" i="187"/>
  <c r="P23" i="187"/>
  <c r="P22" i="187"/>
  <c r="P9" i="187"/>
  <c r="O9" i="187"/>
  <c r="O4" i="187"/>
  <c r="E3" i="187"/>
  <c r="O2" i="187"/>
  <c r="O10" i="187"/>
  <c r="E2" i="187"/>
  <c r="P40" i="186"/>
  <c r="O40" i="186"/>
  <c r="P24" i="186"/>
  <c r="P23" i="186"/>
  <c r="P22" i="186"/>
  <c r="P9" i="186"/>
  <c r="O9" i="186"/>
  <c r="O4" i="186"/>
  <c r="E4" i="186"/>
  <c r="O2" i="186"/>
  <c r="O10" i="186"/>
  <c r="E2" i="186"/>
  <c r="P40" i="185"/>
  <c r="O40" i="185"/>
  <c r="Q40" i="185"/>
  <c r="P24" i="185"/>
  <c r="P23" i="185"/>
  <c r="P22" i="185"/>
  <c r="P9" i="185"/>
  <c r="O9" i="185"/>
  <c r="O4" i="185"/>
  <c r="E3" i="185"/>
  <c r="O2" i="185"/>
  <c r="O10" i="185"/>
  <c r="E2" i="185"/>
  <c r="P24" i="184"/>
  <c r="P23" i="184"/>
  <c r="P22" i="184"/>
  <c r="P9" i="184"/>
  <c r="O9" i="184"/>
  <c r="O4" i="184"/>
  <c r="E4" i="184"/>
  <c r="O2" i="184"/>
  <c r="O10" i="184"/>
  <c r="E2" i="184"/>
  <c r="P24" i="183"/>
  <c r="P23" i="183"/>
  <c r="P22" i="183"/>
  <c r="P9" i="183"/>
  <c r="O9" i="183"/>
  <c r="O4" i="183"/>
  <c r="E3" i="183"/>
  <c r="O2" i="183"/>
  <c r="O10" i="183"/>
  <c r="E2" i="183"/>
  <c r="P24" i="182"/>
  <c r="P23" i="182"/>
  <c r="P22" i="182"/>
  <c r="P9" i="182"/>
  <c r="O9" i="182"/>
  <c r="O4" i="182"/>
  <c r="E4" i="182"/>
  <c r="O2" i="182"/>
  <c r="E2" i="182"/>
  <c r="P24" i="181"/>
  <c r="P23" i="181"/>
  <c r="P22" i="181"/>
  <c r="P9" i="181"/>
  <c r="O9" i="181"/>
  <c r="O4" i="181"/>
  <c r="E3" i="181"/>
  <c r="O2" i="181"/>
  <c r="O10" i="181"/>
  <c r="E2" i="181"/>
  <c r="P24" i="180"/>
  <c r="P23" i="180"/>
  <c r="P22" i="180"/>
  <c r="P9" i="180"/>
  <c r="O9" i="180"/>
  <c r="O4" i="180"/>
  <c r="E4" i="180"/>
  <c r="O2" i="180"/>
  <c r="O5" i="180"/>
  <c r="E2" i="180"/>
  <c r="P24" i="179"/>
  <c r="P23" i="179"/>
  <c r="P22" i="179"/>
  <c r="P9" i="179"/>
  <c r="O9" i="179"/>
  <c r="O4" i="179"/>
  <c r="E3" i="179"/>
  <c r="O2" i="179"/>
  <c r="O10" i="179"/>
  <c r="E2" i="179"/>
  <c r="P2" i="179"/>
  <c r="P10" i="179"/>
  <c r="P2" i="187"/>
  <c r="P10" i="187"/>
  <c r="P2" i="185"/>
  <c r="P10" i="185"/>
  <c r="P2" i="189"/>
  <c r="P10" i="189"/>
  <c r="P2" i="191"/>
  <c r="P10" i="191"/>
  <c r="P2" i="200"/>
  <c r="P10" i="200"/>
  <c r="P2" i="205"/>
  <c r="P10" i="205"/>
  <c r="P2" i="195"/>
  <c r="P10" i="195"/>
  <c r="P2" i="186"/>
  <c r="O5" i="179"/>
  <c r="P2" i="180"/>
  <c r="P10" i="180"/>
  <c r="O10" i="180"/>
  <c r="P2" i="181"/>
  <c r="O5" i="183"/>
  <c r="O5" i="182"/>
  <c r="P2" i="182"/>
  <c r="P10" i="182"/>
  <c r="O10" i="182"/>
  <c r="O5" i="181"/>
  <c r="P10" i="186"/>
  <c r="Q40" i="186"/>
  <c r="O5" i="188"/>
  <c r="Q40" i="188"/>
  <c r="Q40" i="189"/>
  <c r="Q40" i="190"/>
  <c r="O10" i="192"/>
  <c r="O5" i="193"/>
  <c r="O5" i="196"/>
  <c r="O5" i="197"/>
  <c r="O5" i="199"/>
  <c r="Q40" i="200"/>
  <c r="O5" i="202"/>
  <c r="Q40" i="202"/>
  <c r="Q40" i="203"/>
  <c r="P2" i="206"/>
  <c r="P2" i="207"/>
  <c r="P2" i="208"/>
  <c r="P2" i="183"/>
  <c r="P10" i="183"/>
  <c r="O5" i="184"/>
  <c r="O5" i="185"/>
  <c r="O5" i="187"/>
  <c r="P2" i="188"/>
  <c r="P10" i="188"/>
  <c r="O5" i="189"/>
  <c r="O5" i="190"/>
  <c r="O5" i="191"/>
  <c r="O5" i="192"/>
  <c r="P2" i="193"/>
  <c r="P10" i="193"/>
  <c r="O5" i="194"/>
  <c r="O5" i="195"/>
  <c r="P2" i="196"/>
  <c r="P10" i="196"/>
  <c r="P2" i="197"/>
  <c r="P10" i="197"/>
  <c r="P2" i="199"/>
  <c r="O5" i="200"/>
  <c r="O5" i="201"/>
  <c r="P2" i="202"/>
  <c r="P10" i="202"/>
  <c r="O5" i="203"/>
  <c r="O5" i="205"/>
  <c r="O5" i="206"/>
  <c r="O5" i="207"/>
  <c r="O5" i="208"/>
  <c r="P40" i="178"/>
  <c r="O40" i="178"/>
  <c r="P24" i="178"/>
  <c r="P23" i="178"/>
  <c r="P22" i="178"/>
  <c r="P9" i="178"/>
  <c r="O9" i="178"/>
  <c r="O4" i="178"/>
  <c r="E4" i="178"/>
  <c r="O2" i="178"/>
  <c r="O5" i="178"/>
  <c r="E2" i="178"/>
  <c r="P40" i="177"/>
  <c r="O40" i="177"/>
  <c r="P24" i="177"/>
  <c r="P23" i="177"/>
  <c r="P22" i="177"/>
  <c r="P9" i="177"/>
  <c r="O9" i="177"/>
  <c r="O4" i="177"/>
  <c r="E3" i="177"/>
  <c r="O2" i="177"/>
  <c r="O10" i="177"/>
  <c r="E2" i="177"/>
  <c r="P40" i="176"/>
  <c r="O40" i="176"/>
  <c r="Q40" i="176"/>
  <c r="P24" i="176"/>
  <c r="P23" i="176"/>
  <c r="P22" i="176"/>
  <c r="P9" i="176"/>
  <c r="O9" i="176"/>
  <c r="O4" i="176"/>
  <c r="E4" i="176"/>
  <c r="O2" i="176"/>
  <c r="O10" i="176"/>
  <c r="E2" i="176"/>
  <c r="P40" i="175"/>
  <c r="O40" i="175"/>
  <c r="P24" i="175"/>
  <c r="P23" i="175"/>
  <c r="P22" i="175"/>
  <c r="P9" i="175"/>
  <c r="O9" i="175"/>
  <c r="O4" i="175"/>
  <c r="E3" i="175"/>
  <c r="O2" i="175"/>
  <c r="P2" i="175"/>
  <c r="E2" i="175"/>
  <c r="P40" i="174"/>
  <c r="O40" i="174"/>
  <c r="P24" i="174"/>
  <c r="P23" i="174"/>
  <c r="P22" i="174"/>
  <c r="P9" i="174"/>
  <c r="O9" i="174"/>
  <c r="O4" i="174"/>
  <c r="E4" i="174"/>
  <c r="O2" i="174"/>
  <c r="O5" i="174"/>
  <c r="E2" i="174"/>
  <c r="P40" i="173"/>
  <c r="O40" i="173"/>
  <c r="P24" i="173"/>
  <c r="P23" i="173"/>
  <c r="P22" i="173"/>
  <c r="P9" i="173"/>
  <c r="O9" i="173"/>
  <c r="O4" i="173"/>
  <c r="E3" i="173"/>
  <c r="O2" i="173"/>
  <c r="O10" i="173"/>
  <c r="E2" i="173"/>
  <c r="P24" i="172"/>
  <c r="P23" i="172"/>
  <c r="P22" i="172"/>
  <c r="P9" i="172"/>
  <c r="O9" i="172"/>
  <c r="O4" i="172"/>
  <c r="E4" i="172"/>
  <c r="O2" i="172"/>
  <c r="O10" i="172"/>
  <c r="E2" i="172"/>
  <c r="P24" i="171"/>
  <c r="P23" i="171"/>
  <c r="P22" i="171"/>
  <c r="P9" i="171"/>
  <c r="O9" i="171"/>
  <c r="O4" i="171"/>
  <c r="E3" i="171"/>
  <c r="O2" i="171"/>
  <c r="O10" i="171"/>
  <c r="E2" i="171"/>
  <c r="P24" i="170"/>
  <c r="P23" i="170"/>
  <c r="P22" i="170"/>
  <c r="P9" i="170"/>
  <c r="O9" i="170"/>
  <c r="O4" i="170"/>
  <c r="E4" i="170"/>
  <c r="O2" i="170"/>
  <c r="O5" i="170"/>
  <c r="E2" i="170"/>
  <c r="P24" i="169"/>
  <c r="P23" i="169"/>
  <c r="P22" i="169"/>
  <c r="P9" i="169"/>
  <c r="O9" i="169"/>
  <c r="O4" i="169"/>
  <c r="E3" i="169"/>
  <c r="O2" i="169"/>
  <c r="O10" i="169"/>
  <c r="E2" i="169"/>
  <c r="P24" i="168"/>
  <c r="P23" i="168"/>
  <c r="P22" i="168"/>
  <c r="P9" i="168"/>
  <c r="O9" i="168"/>
  <c r="O4" i="168"/>
  <c r="E4" i="168"/>
  <c r="O2" i="168"/>
  <c r="P2" i="168"/>
  <c r="E2" i="168"/>
  <c r="P24" i="167"/>
  <c r="P23" i="167"/>
  <c r="P22" i="167"/>
  <c r="P9" i="167"/>
  <c r="O9" i="167"/>
  <c r="O4" i="167"/>
  <c r="E3" i="167"/>
  <c r="O2" i="167"/>
  <c r="O10" i="167"/>
  <c r="E2" i="167"/>
  <c r="P40" i="166"/>
  <c r="O40" i="166"/>
  <c r="P24" i="166"/>
  <c r="P23" i="166"/>
  <c r="P22" i="166"/>
  <c r="P9" i="166"/>
  <c r="O9" i="166"/>
  <c r="O4" i="166"/>
  <c r="E4" i="166"/>
  <c r="O2" i="166"/>
  <c r="P2" i="166"/>
  <c r="E2" i="166"/>
  <c r="P40" i="164"/>
  <c r="O40" i="164"/>
  <c r="Q40" i="164"/>
  <c r="P24" i="164"/>
  <c r="P23" i="164"/>
  <c r="P22" i="164"/>
  <c r="P9" i="164"/>
  <c r="O9" i="164"/>
  <c r="O4" i="164"/>
  <c r="E3" i="164"/>
  <c r="O2" i="164"/>
  <c r="O10" i="164"/>
  <c r="E2" i="164"/>
  <c r="P40" i="163"/>
  <c r="O40" i="163"/>
  <c r="P24" i="163"/>
  <c r="P23" i="163"/>
  <c r="P22" i="163"/>
  <c r="P9" i="163"/>
  <c r="O9" i="163"/>
  <c r="O4" i="163"/>
  <c r="E4" i="163"/>
  <c r="O2" i="163"/>
  <c r="O5" i="163"/>
  <c r="E2" i="163"/>
  <c r="P40" i="162"/>
  <c r="O40" i="162"/>
  <c r="Q40" i="162"/>
  <c r="P24" i="162"/>
  <c r="P23" i="162"/>
  <c r="P22" i="162"/>
  <c r="P9" i="162"/>
  <c r="O9" i="162"/>
  <c r="O4" i="162"/>
  <c r="E3" i="162"/>
  <c r="O2" i="162"/>
  <c r="O10" i="162"/>
  <c r="E2" i="162"/>
  <c r="P40" i="161"/>
  <c r="O40" i="161"/>
  <c r="P24" i="161"/>
  <c r="P23" i="161"/>
  <c r="P22" i="161"/>
  <c r="P9" i="161"/>
  <c r="O9" i="161"/>
  <c r="O4" i="161"/>
  <c r="E4" i="161"/>
  <c r="O2" i="161"/>
  <c r="P2" i="161"/>
  <c r="E2" i="161"/>
  <c r="P40" i="160"/>
  <c r="O40" i="160"/>
  <c r="P24" i="160"/>
  <c r="P23" i="160"/>
  <c r="P22" i="160"/>
  <c r="P9" i="160"/>
  <c r="O9" i="160"/>
  <c r="O4" i="160"/>
  <c r="E3" i="160"/>
  <c r="O2" i="160"/>
  <c r="O10" i="160"/>
  <c r="E2" i="160"/>
  <c r="P40" i="159"/>
  <c r="O40" i="159"/>
  <c r="P24" i="159"/>
  <c r="P23" i="159"/>
  <c r="P22" i="159"/>
  <c r="P9" i="159"/>
  <c r="O9" i="159"/>
  <c r="O4" i="159"/>
  <c r="E4" i="159"/>
  <c r="O2" i="159"/>
  <c r="O5" i="159"/>
  <c r="E2" i="159"/>
  <c r="P40" i="158"/>
  <c r="O40" i="158"/>
  <c r="P24" i="158"/>
  <c r="P23" i="158"/>
  <c r="P22" i="158"/>
  <c r="P9" i="158"/>
  <c r="O9" i="158"/>
  <c r="O4" i="158"/>
  <c r="E3" i="158"/>
  <c r="O2" i="158"/>
  <c r="O10" i="158"/>
  <c r="E2" i="158"/>
  <c r="P40" i="157"/>
  <c r="O40" i="157"/>
  <c r="P24" i="157"/>
  <c r="P23" i="157"/>
  <c r="P22" i="157"/>
  <c r="P9" i="157"/>
  <c r="O9" i="157"/>
  <c r="O4" i="157"/>
  <c r="E4" i="157"/>
  <c r="O2" i="157"/>
  <c r="O5" i="157"/>
  <c r="E2" i="157"/>
  <c r="P40" i="156"/>
  <c r="O40" i="156"/>
  <c r="P24" i="156"/>
  <c r="P23" i="156"/>
  <c r="P22" i="156"/>
  <c r="P9" i="156"/>
  <c r="O9" i="156"/>
  <c r="O4" i="156"/>
  <c r="E3" i="156"/>
  <c r="O2" i="156"/>
  <c r="P2" i="156"/>
  <c r="E2" i="156"/>
  <c r="P40" i="151"/>
  <c r="O40" i="151"/>
  <c r="P24" i="151"/>
  <c r="P23" i="151"/>
  <c r="P22" i="151"/>
  <c r="P9" i="151"/>
  <c r="O9" i="151"/>
  <c r="O4" i="151"/>
  <c r="E4" i="151"/>
  <c r="O2" i="151"/>
  <c r="O5" i="151"/>
  <c r="E2" i="151"/>
  <c r="P40" i="150"/>
  <c r="O40" i="150"/>
  <c r="P24" i="150"/>
  <c r="P23" i="150"/>
  <c r="P22" i="150"/>
  <c r="P9" i="150"/>
  <c r="O9" i="150"/>
  <c r="O4" i="150"/>
  <c r="E3" i="150"/>
  <c r="O2" i="150"/>
  <c r="O10" i="150"/>
  <c r="E2" i="150"/>
  <c r="P24" i="155"/>
  <c r="P23" i="155"/>
  <c r="P22" i="155"/>
  <c r="P9" i="155"/>
  <c r="O9" i="155"/>
  <c r="O4" i="155"/>
  <c r="E4" i="155"/>
  <c r="O2" i="155"/>
  <c r="O5" i="155"/>
  <c r="E2" i="155"/>
  <c r="P24" i="154"/>
  <c r="P23" i="154"/>
  <c r="P22" i="154"/>
  <c r="P9" i="154"/>
  <c r="O9" i="154"/>
  <c r="O4" i="154"/>
  <c r="E3" i="154"/>
  <c r="O2" i="154"/>
  <c r="P2" i="154"/>
  <c r="E2" i="154"/>
  <c r="P24" i="153"/>
  <c r="P23" i="153"/>
  <c r="P22" i="153"/>
  <c r="P9" i="153"/>
  <c r="O9" i="153"/>
  <c r="O4" i="153"/>
  <c r="E4" i="153"/>
  <c r="O2" i="153"/>
  <c r="O5" i="153"/>
  <c r="E2" i="153"/>
  <c r="P24" i="152"/>
  <c r="P23" i="152"/>
  <c r="P22" i="152"/>
  <c r="P9" i="152"/>
  <c r="O9" i="152"/>
  <c r="O4" i="152"/>
  <c r="E3" i="152"/>
  <c r="O2" i="152"/>
  <c r="P2" i="152"/>
  <c r="E2" i="152"/>
  <c r="P24" i="130"/>
  <c r="P23" i="130"/>
  <c r="P22" i="130"/>
  <c r="P9" i="130"/>
  <c r="O9" i="130"/>
  <c r="O4" i="130"/>
  <c r="E4" i="130"/>
  <c r="O2" i="130"/>
  <c r="O5" i="130"/>
  <c r="E2" i="130"/>
  <c r="P24" i="52"/>
  <c r="P23" i="52"/>
  <c r="P22" i="52"/>
  <c r="P9" i="52"/>
  <c r="O9" i="52"/>
  <c r="O4" i="52"/>
  <c r="E3" i="52"/>
  <c r="O2" i="52"/>
  <c r="O5" i="52"/>
  <c r="E2" i="52"/>
  <c r="P2" i="150"/>
  <c r="P10" i="150"/>
  <c r="P2" i="173"/>
  <c r="P10" i="173"/>
  <c r="P2" i="177"/>
  <c r="P10" i="177"/>
  <c r="P2" i="157"/>
  <c r="P2" i="158"/>
  <c r="P10" i="158"/>
  <c r="P2" i="172"/>
  <c r="P10" i="172"/>
  <c r="P10" i="156"/>
  <c r="P10" i="154"/>
  <c r="P10" i="161"/>
  <c r="P10" i="166"/>
  <c r="P10" i="175"/>
  <c r="O10" i="152"/>
  <c r="O10" i="154"/>
  <c r="O10" i="156"/>
  <c r="Q40" i="157"/>
  <c r="Q40" i="158"/>
  <c r="O5" i="160"/>
  <c r="O10" i="161"/>
  <c r="O5" i="162"/>
  <c r="O5" i="164"/>
  <c r="O10" i="166"/>
  <c r="O5" i="167"/>
  <c r="O10" i="168"/>
  <c r="O5" i="169"/>
  <c r="O5" i="171"/>
  <c r="O10" i="175"/>
  <c r="O5" i="176"/>
  <c r="P2" i="178"/>
  <c r="O10" i="178"/>
  <c r="P10" i="208"/>
  <c r="P10" i="207"/>
  <c r="P10" i="206"/>
  <c r="P2" i="52"/>
  <c r="P2" i="130"/>
  <c r="P10" i="130"/>
  <c r="O10" i="130"/>
  <c r="O5" i="152"/>
  <c r="P2" i="153"/>
  <c r="P10" i="153"/>
  <c r="O10" i="153"/>
  <c r="O5" i="154"/>
  <c r="P2" i="155"/>
  <c r="P10" i="155"/>
  <c r="O10" i="155"/>
  <c r="O5" i="150"/>
  <c r="P2" i="151"/>
  <c r="P10" i="151"/>
  <c r="O10" i="151"/>
  <c r="O5" i="156"/>
  <c r="P2" i="159"/>
  <c r="P10" i="159"/>
  <c r="O10" i="159"/>
  <c r="P2" i="160"/>
  <c r="P10" i="160"/>
  <c r="O5" i="161"/>
  <c r="P2" i="162"/>
  <c r="P10" i="162"/>
  <c r="P2" i="163"/>
  <c r="P10" i="163"/>
  <c r="O10" i="163"/>
  <c r="P2" i="164"/>
  <c r="P10" i="164"/>
  <c r="O5" i="166"/>
  <c r="P2" i="167"/>
  <c r="P10" i="167"/>
  <c r="O5" i="168"/>
  <c r="P2" i="169"/>
  <c r="P10" i="169"/>
  <c r="P2" i="170"/>
  <c r="P10" i="170"/>
  <c r="O10" i="170"/>
  <c r="P2" i="171"/>
  <c r="P10" i="171"/>
  <c r="O5" i="173"/>
  <c r="P2" i="174"/>
  <c r="P10" i="174"/>
  <c r="O10" i="174"/>
  <c r="O5" i="175"/>
  <c r="P2" i="176"/>
  <c r="O5" i="177"/>
  <c r="P10" i="52"/>
  <c r="O10" i="52"/>
  <c r="J346" i="49"/>
  <c r="H346" i="49"/>
  <c r="F346" i="49"/>
  <c r="C346" i="49"/>
  <c r="J345" i="49"/>
  <c r="H345" i="49"/>
  <c r="F345" i="49"/>
  <c r="C345" i="49"/>
  <c r="J344" i="49"/>
  <c r="H344" i="49"/>
  <c r="F344" i="49"/>
  <c r="C344" i="49"/>
  <c r="J343" i="49"/>
  <c r="H343" i="49"/>
  <c r="F343" i="49"/>
  <c r="C343" i="49"/>
  <c r="J342" i="49"/>
  <c r="H342" i="49"/>
  <c r="F342" i="49"/>
  <c r="D342" i="49"/>
  <c r="C342" i="49"/>
  <c r="K341" i="49"/>
  <c r="J341" i="49"/>
  <c r="I341" i="49"/>
  <c r="H341" i="49"/>
  <c r="G341" i="49"/>
  <c r="F341" i="49"/>
  <c r="D341" i="49"/>
  <c r="C341" i="49"/>
  <c r="K340" i="49"/>
  <c r="J340" i="49"/>
  <c r="I340" i="49"/>
  <c r="H340" i="49"/>
  <c r="G340" i="49"/>
  <c r="F340" i="49"/>
  <c r="D340" i="49"/>
  <c r="C340" i="49"/>
  <c r="K339" i="49"/>
  <c r="J339" i="49"/>
  <c r="I339" i="49"/>
  <c r="H339" i="49"/>
  <c r="G339" i="49"/>
  <c r="F339" i="49"/>
  <c r="E339" i="49"/>
  <c r="D339" i="49"/>
  <c r="C339" i="49"/>
  <c r="K338" i="49"/>
  <c r="J338" i="49"/>
  <c r="I338" i="49"/>
  <c r="H338" i="49"/>
  <c r="G338" i="49"/>
  <c r="F338" i="49"/>
  <c r="E338" i="49"/>
  <c r="D338" i="49"/>
  <c r="C338" i="49"/>
  <c r="K337" i="49"/>
  <c r="J337" i="49"/>
  <c r="I337" i="49"/>
  <c r="H337" i="49"/>
  <c r="G337" i="49"/>
  <c r="F337" i="49"/>
  <c r="E337" i="49"/>
  <c r="D337" i="49"/>
  <c r="C337" i="49"/>
  <c r="K336" i="49"/>
  <c r="J336" i="49"/>
  <c r="I336" i="49"/>
  <c r="H336" i="49"/>
  <c r="G336" i="49"/>
  <c r="F336" i="49"/>
  <c r="E336" i="49"/>
  <c r="D336" i="49"/>
  <c r="C336" i="49"/>
  <c r="K335" i="49"/>
  <c r="J335" i="49"/>
  <c r="I335" i="49"/>
  <c r="H335" i="49"/>
  <c r="G335" i="49"/>
  <c r="F335" i="49"/>
  <c r="E335" i="49"/>
  <c r="D335" i="49"/>
  <c r="C335" i="49"/>
  <c r="K334" i="49"/>
  <c r="J334" i="49"/>
  <c r="I334" i="49"/>
  <c r="H334" i="49"/>
  <c r="G334" i="49"/>
  <c r="F334" i="49"/>
  <c r="E334" i="49"/>
  <c r="D334" i="49"/>
  <c r="C334" i="49"/>
  <c r="L266" i="49"/>
  <c r="J266" i="49"/>
  <c r="H266" i="49"/>
  <c r="F266" i="49"/>
  <c r="C266" i="49"/>
  <c r="L265" i="49"/>
  <c r="J265" i="49"/>
  <c r="H265" i="49"/>
  <c r="F265" i="49"/>
  <c r="C265" i="49"/>
  <c r="L264" i="49"/>
  <c r="J264" i="49"/>
  <c r="H264" i="49"/>
  <c r="F264" i="49"/>
  <c r="C264" i="49"/>
  <c r="L263" i="49"/>
  <c r="J263" i="49"/>
  <c r="H263" i="49"/>
  <c r="F263" i="49"/>
  <c r="C263" i="49"/>
  <c r="M262" i="49"/>
  <c r="L262" i="49"/>
  <c r="J262" i="49"/>
  <c r="H262" i="49"/>
  <c r="F262" i="49"/>
  <c r="D262" i="49"/>
  <c r="C262" i="49"/>
  <c r="M261" i="49"/>
  <c r="L261" i="49"/>
  <c r="K261" i="49"/>
  <c r="J261" i="49"/>
  <c r="I261" i="49"/>
  <c r="H261" i="49"/>
  <c r="G261" i="49"/>
  <c r="F261" i="49"/>
  <c r="D261" i="49"/>
  <c r="C261" i="49"/>
  <c r="M260" i="49"/>
  <c r="L260" i="49"/>
  <c r="K260" i="49"/>
  <c r="J260" i="49"/>
  <c r="I260" i="49"/>
  <c r="H260" i="49"/>
  <c r="G260" i="49"/>
  <c r="F260" i="49"/>
  <c r="D260" i="49"/>
  <c r="C260" i="49"/>
  <c r="M259" i="49"/>
  <c r="L259" i="49"/>
  <c r="K259" i="49"/>
  <c r="J259" i="49"/>
  <c r="I259" i="49"/>
  <c r="H259" i="49"/>
  <c r="G259" i="49"/>
  <c r="F259" i="49"/>
  <c r="E259" i="49"/>
  <c r="D259" i="49"/>
  <c r="C259" i="49"/>
  <c r="M258" i="49"/>
  <c r="L258" i="49"/>
  <c r="K258" i="49"/>
  <c r="J258" i="49"/>
  <c r="I258" i="49"/>
  <c r="H258" i="49"/>
  <c r="G258" i="49"/>
  <c r="F258" i="49"/>
  <c r="E258" i="49"/>
  <c r="D258" i="49"/>
  <c r="C258" i="49"/>
  <c r="M257" i="49"/>
  <c r="L257" i="49"/>
  <c r="K257" i="49"/>
  <c r="J257" i="49"/>
  <c r="I257" i="49"/>
  <c r="H257" i="49"/>
  <c r="G257" i="49"/>
  <c r="F257" i="49"/>
  <c r="E257" i="49"/>
  <c r="D257" i="49"/>
  <c r="C257" i="49"/>
  <c r="M256" i="49"/>
  <c r="L256" i="49"/>
  <c r="K256" i="49"/>
  <c r="J256" i="49"/>
  <c r="I256" i="49"/>
  <c r="H256" i="49"/>
  <c r="G256" i="49"/>
  <c r="F256" i="49"/>
  <c r="E256" i="49"/>
  <c r="D256" i="49"/>
  <c r="C256" i="49"/>
  <c r="M255" i="49"/>
  <c r="L255" i="49"/>
  <c r="K255" i="49"/>
  <c r="J255" i="49"/>
  <c r="I255" i="49"/>
  <c r="H255" i="49"/>
  <c r="G255" i="49"/>
  <c r="F255" i="49"/>
  <c r="E255" i="49"/>
  <c r="D255" i="49"/>
  <c r="C255" i="49"/>
  <c r="M254" i="49"/>
  <c r="L254" i="49"/>
  <c r="K254" i="49"/>
  <c r="J254" i="49"/>
  <c r="I254" i="49"/>
  <c r="H254" i="49"/>
  <c r="G254" i="49"/>
  <c r="F254" i="49"/>
  <c r="E254" i="49"/>
  <c r="D254" i="49"/>
  <c r="C254" i="49"/>
  <c r="N226" i="49"/>
  <c r="L226" i="49"/>
  <c r="J226" i="49"/>
  <c r="H226" i="49"/>
  <c r="F226" i="49"/>
  <c r="C226" i="49"/>
  <c r="N225" i="49"/>
  <c r="L225" i="49"/>
  <c r="J225" i="49"/>
  <c r="H225" i="49"/>
  <c r="F225" i="49"/>
  <c r="C225" i="49"/>
  <c r="N224" i="49"/>
  <c r="L224" i="49"/>
  <c r="J224" i="49"/>
  <c r="H224" i="49"/>
  <c r="F224" i="49"/>
  <c r="C224" i="49"/>
  <c r="N223" i="49"/>
  <c r="L223" i="49"/>
  <c r="J223" i="49"/>
  <c r="H223" i="49"/>
  <c r="F223" i="49"/>
  <c r="C223" i="49"/>
  <c r="N222" i="49"/>
  <c r="M222" i="49"/>
  <c r="L222" i="49"/>
  <c r="J222" i="49"/>
  <c r="H222" i="49"/>
  <c r="F222" i="49"/>
  <c r="D222" i="49"/>
  <c r="C222" i="49"/>
  <c r="N221" i="49"/>
  <c r="M221" i="49"/>
  <c r="L221" i="49"/>
  <c r="K221" i="49"/>
  <c r="J221" i="49"/>
  <c r="I221" i="49"/>
  <c r="H221" i="49"/>
  <c r="G221" i="49"/>
  <c r="F221" i="49"/>
  <c r="D221" i="49"/>
  <c r="C221" i="49"/>
  <c r="N220" i="49"/>
  <c r="M220" i="49"/>
  <c r="L220" i="49"/>
  <c r="K220" i="49"/>
  <c r="J220" i="49"/>
  <c r="I220" i="49"/>
  <c r="H220" i="49"/>
  <c r="G220" i="49"/>
  <c r="F220" i="49"/>
  <c r="D220" i="49"/>
  <c r="C220" i="49"/>
  <c r="N219" i="49"/>
  <c r="M219" i="49"/>
  <c r="L219" i="49"/>
  <c r="K219" i="49"/>
  <c r="J219" i="49"/>
  <c r="I219" i="49"/>
  <c r="H219" i="49"/>
  <c r="G219" i="49"/>
  <c r="F219" i="49"/>
  <c r="E219" i="49"/>
  <c r="D219" i="49"/>
  <c r="C219" i="49"/>
  <c r="N218" i="49"/>
  <c r="M218" i="49"/>
  <c r="L218" i="49"/>
  <c r="K218" i="49"/>
  <c r="J218" i="49"/>
  <c r="I218" i="49"/>
  <c r="H218" i="49"/>
  <c r="G218" i="49"/>
  <c r="F218" i="49"/>
  <c r="E218" i="49"/>
  <c r="D218" i="49"/>
  <c r="C218" i="49"/>
  <c r="N217" i="49"/>
  <c r="M217" i="49"/>
  <c r="L217" i="49"/>
  <c r="K217" i="49"/>
  <c r="J217" i="49"/>
  <c r="I217" i="49"/>
  <c r="H217" i="49"/>
  <c r="G217" i="49"/>
  <c r="F217" i="49"/>
  <c r="E217" i="49"/>
  <c r="D217" i="49"/>
  <c r="C217" i="49"/>
  <c r="N216" i="49"/>
  <c r="M216" i="49"/>
  <c r="L216" i="49"/>
  <c r="K216" i="49"/>
  <c r="J216" i="49"/>
  <c r="I216" i="49"/>
  <c r="H216" i="49"/>
  <c r="G216" i="49"/>
  <c r="F216" i="49"/>
  <c r="E216" i="49"/>
  <c r="D216" i="49"/>
  <c r="C216" i="49"/>
  <c r="N215" i="49"/>
  <c r="M215" i="49"/>
  <c r="L215" i="49"/>
  <c r="K215" i="49"/>
  <c r="J215" i="49"/>
  <c r="I215" i="49"/>
  <c r="H215" i="49"/>
  <c r="G215" i="49"/>
  <c r="F215" i="49"/>
  <c r="E215" i="49"/>
  <c r="D215" i="49"/>
  <c r="C215" i="49"/>
  <c r="N214" i="49"/>
  <c r="M214" i="49"/>
  <c r="L214" i="49"/>
  <c r="K214" i="49"/>
  <c r="J214" i="49"/>
  <c r="J394" i="49"/>
  <c r="I214" i="49"/>
  <c r="H214" i="49"/>
  <c r="H394" i="49"/>
  <c r="G214" i="49"/>
  <c r="F214" i="49"/>
  <c r="F394" i="49"/>
  <c r="E214" i="49"/>
  <c r="D214" i="49"/>
  <c r="D394" i="49"/>
  <c r="C214" i="49"/>
  <c r="N148" i="49"/>
  <c r="M148" i="49"/>
  <c r="L148" i="49"/>
  <c r="K148" i="49"/>
  <c r="J148" i="49"/>
  <c r="I148" i="49"/>
  <c r="H148" i="49"/>
  <c r="G148" i="49"/>
  <c r="F148" i="49"/>
  <c r="E148" i="49"/>
  <c r="D148" i="49"/>
  <c r="C148" i="49"/>
  <c r="M132" i="49"/>
  <c r="L132" i="49"/>
  <c r="K132" i="49"/>
  <c r="J132" i="49"/>
  <c r="I132" i="49"/>
  <c r="H132" i="49"/>
  <c r="G132" i="49"/>
  <c r="F132" i="49"/>
  <c r="E132" i="49"/>
  <c r="D132" i="49"/>
  <c r="C132" i="49"/>
  <c r="N94" i="49"/>
  <c r="M94" i="49"/>
  <c r="L94" i="49"/>
  <c r="K94" i="49"/>
  <c r="J94" i="49"/>
  <c r="I94" i="49"/>
  <c r="H94" i="49"/>
  <c r="G94" i="49"/>
  <c r="F94" i="49"/>
  <c r="E94" i="49"/>
  <c r="D94" i="49"/>
  <c r="C94" i="49"/>
  <c r="N93" i="49"/>
  <c r="M93" i="49"/>
  <c r="L93" i="49"/>
  <c r="K93" i="49"/>
  <c r="J93" i="49"/>
  <c r="I93" i="49"/>
  <c r="H93" i="49"/>
  <c r="G93" i="49"/>
  <c r="F93" i="49"/>
  <c r="E93" i="49"/>
  <c r="D93" i="49"/>
  <c r="C93" i="49"/>
  <c r="K84" i="49"/>
  <c r="J84" i="49"/>
  <c r="I84" i="49"/>
  <c r="H84" i="49"/>
  <c r="G84" i="49"/>
  <c r="F84" i="49"/>
  <c r="E84" i="49"/>
  <c r="D84" i="49"/>
  <c r="C84" i="49"/>
  <c r="M81" i="49"/>
  <c r="L81" i="49"/>
  <c r="K81" i="49"/>
  <c r="J81" i="49"/>
  <c r="I81" i="49"/>
  <c r="H81" i="49"/>
  <c r="G81" i="49"/>
  <c r="F81" i="49"/>
  <c r="E81" i="49"/>
  <c r="D81" i="49"/>
  <c r="C81" i="49"/>
  <c r="R28" i="172"/>
  <c r="R28" i="171"/>
  <c r="R28" i="183"/>
  <c r="R28" i="184"/>
  <c r="R28" i="158"/>
  <c r="R28" i="159"/>
  <c r="R28" i="196"/>
  <c r="R28" i="195"/>
  <c r="O28" i="153"/>
  <c r="Q28" i="153"/>
  <c r="O28" i="52"/>
  <c r="Q28" i="52"/>
  <c r="O28" i="155"/>
  <c r="Q28" i="155"/>
  <c r="O28" i="154"/>
  <c r="Q28" i="154"/>
  <c r="O28" i="152"/>
  <c r="Q28" i="152"/>
  <c r="O28" i="130"/>
  <c r="Q28" i="130"/>
  <c r="O28" i="166"/>
  <c r="Q28" i="166"/>
  <c r="O28" i="162"/>
  <c r="Q28" i="162"/>
  <c r="O28" i="161"/>
  <c r="Q28" i="161"/>
  <c r="O28" i="160"/>
  <c r="Q28" i="160"/>
  <c r="O28" i="164"/>
  <c r="Q28" i="164"/>
  <c r="O28" i="163"/>
  <c r="Q28" i="163"/>
  <c r="O28" i="177"/>
  <c r="Q28" i="177"/>
  <c r="O28" i="176"/>
  <c r="Q28" i="176"/>
  <c r="O28" i="175"/>
  <c r="Q28" i="175"/>
  <c r="O28" i="174"/>
  <c r="Q28" i="174"/>
  <c r="O28" i="178"/>
  <c r="Q28" i="178"/>
  <c r="O28" i="173"/>
  <c r="Q28" i="173"/>
  <c r="O28" i="189"/>
  <c r="Q28" i="189"/>
  <c r="O28" i="190"/>
  <c r="Q28" i="190"/>
  <c r="O28" i="188"/>
  <c r="Q28" i="188"/>
  <c r="O28" i="187"/>
  <c r="Q28" i="187"/>
  <c r="O28" i="186"/>
  <c r="Q28" i="186"/>
  <c r="O28" i="185"/>
  <c r="Q28" i="185"/>
  <c r="O28" i="202"/>
  <c r="Q28" i="202"/>
  <c r="O28" i="201"/>
  <c r="Q28" i="201"/>
  <c r="O28" i="200"/>
  <c r="Q28" i="200"/>
  <c r="O28" i="197"/>
  <c r="Q28" i="197"/>
  <c r="O28" i="203"/>
  <c r="Q28" i="203"/>
  <c r="O28" i="199"/>
  <c r="Q28" i="199"/>
  <c r="O28" i="211"/>
  <c r="Q28" i="211"/>
  <c r="O28" i="210"/>
  <c r="Q28" i="210"/>
  <c r="O28" i="209"/>
  <c r="Q28" i="209"/>
  <c r="O28" i="204"/>
  <c r="Q28" i="204"/>
  <c r="O30" i="155"/>
  <c r="Q30" i="155"/>
  <c r="O30" i="154"/>
  <c r="Q30" i="154"/>
  <c r="O30" i="130"/>
  <c r="Q30" i="130"/>
  <c r="O30" i="153"/>
  <c r="Q30" i="153"/>
  <c r="O30" i="152"/>
  <c r="O30" i="52"/>
  <c r="Q30" i="52"/>
  <c r="O30" i="163"/>
  <c r="Q30" i="163"/>
  <c r="O30" i="162"/>
  <c r="O30" i="166"/>
  <c r="Q30" i="166"/>
  <c r="O30" i="164"/>
  <c r="O30" i="161"/>
  <c r="Q30" i="161"/>
  <c r="O30" i="160"/>
  <c r="Q30" i="160"/>
  <c r="O30" i="178"/>
  <c r="Q30" i="178"/>
  <c r="O30" i="177"/>
  <c r="O30" i="173"/>
  <c r="Q30" i="173"/>
  <c r="O30" i="176"/>
  <c r="Q30" i="176"/>
  <c r="O30" i="175"/>
  <c r="Q30" i="175"/>
  <c r="O30" i="174"/>
  <c r="Q30" i="174"/>
  <c r="O30" i="189"/>
  <c r="O30" i="187"/>
  <c r="Q30" i="187"/>
  <c r="O30" i="185"/>
  <c r="Q30" i="185"/>
  <c r="O30" i="190"/>
  <c r="O30" i="188"/>
  <c r="O30" i="186"/>
  <c r="O30" i="202"/>
  <c r="O30" i="200"/>
  <c r="O30" i="199"/>
  <c r="Q30" i="199"/>
  <c r="O30" i="197"/>
  <c r="O30" i="203"/>
  <c r="O30" i="201"/>
  <c r="Q30" i="201"/>
  <c r="O30" i="211"/>
  <c r="Q30" i="211"/>
  <c r="O30" i="210"/>
  <c r="Q30" i="210"/>
  <c r="O30" i="204"/>
  <c r="Q30" i="204"/>
  <c r="O30" i="209"/>
  <c r="O32" i="163"/>
  <c r="O32" i="162"/>
  <c r="Q32" i="162"/>
  <c r="O32" i="166"/>
  <c r="O32" i="164"/>
  <c r="Q32" i="164"/>
  <c r="O32" i="161"/>
  <c r="O32" i="160"/>
  <c r="O32" i="178"/>
  <c r="O32" i="173"/>
  <c r="O32" i="177"/>
  <c r="O32" i="176"/>
  <c r="O32" i="175"/>
  <c r="O32" i="174"/>
  <c r="O32" i="189"/>
  <c r="Q32" i="189"/>
  <c r="O32" i="187"/>
  <c r="O32" i="185"/>
  <c r="O32" i="190"/>
  <c r="Q32" i="190"/>
  <c r="O32" i="188"/>
  <c r="Q32" i="188"/>
  <c r="O32" i="186"/>
  <c r="Q32" i="186"/>
  <c r="O32" i="202"/>
  <c r="Q32" i="202"/>
  <c r="O32" i="200"/>
  <c r="Q32" i="200"/>
  <c r="O32" i="199"/>
  <c r="O32" i="197"/>
  <c r="Q32" i="197"/>
  <c r="O32" i="203"/>
  <c r="Q32" i="203"/>
  <c r="O32" i="201"/>
  <c r="O32" i="211"/>
  <c r="O32" i="210"/>
  <c r="O32" i="204"/>
  <c r="O32" i="209"/>
  <c r="Q32" i="209"/>
  <c r="O32" i="155"/>
  <c r="O32" i="154"/>
  <c r="O32" i="130"/>
  <c r="O32" i="153"/>
  <c r="O32" i="152"/>
  <c r="Q32" i="152"/>
  <c r="O32" i="52"/>
  <c r="O34" i="163"/>
  <c r="Q34" i="163"/>
  <c r="O34" i="162"/>
  <c r="O34" i="166"/>
  <c r="Q34" i="166"/>
  <c r="O34" i="164"/>
  <c r="O34" i="161"/>
  <c r="Q34" i="161"/>
  <c r="O34" i="160"/>
  <c r="Q34" i="160"/>
  <c r="O34" i="178"/>
  <c r="Q34" i="178"/>
  <c r="O34" i="177"/>
  <c r="O34" i="173"/>
  <c r="Q34" i="173"/>
  <c r="O34" i="176"/>
  <c r="Q34" i="176"/>
  <c r="O34" i="175"/>
  <c r="Q34" i="175"/>
  <c r="O34" i="174"/>
  <c r="Q34" i="174"/>
  <c r="O34" i="189"/>
  <c r="O34" i="187"/>
  <c r="Q34" i="187"/>
  <c r="O34" i="185"/>
  <c r="Q34" i="185"/>
  <c r="O34" i="190"/>
  <c r="O34" i="188"/>
  <c r="O34" i="186"/>
  <c r="O34" i="202"/>
  <c r="O34" i="200"/>
  <c r="O34" i="199"/>
  <c r="Q34" i="199"/>
  <c r="O34" i="197"/>
  <c r="O34" i="203"/>
  <c r="O34" i="201"/>
  <c r="Q34" i="201"/>
  <c r="O36" i="163"/>
  <c r="O36" i="162"/>
  <c r="Q36" i="162"/>
  <c r="O36" i="166"/>
  <c r="O36" i="164"/>
  <c r="Q36" i="164"/>
  <c r="O36" i="161"/>
  <c r="O36" i="160"/>
  <c r="O34" i="211"/>
  <c r="Q34" i="211"/>
  <c r="O34" i="210"/>
  <c r="Q34" i="210"/>
  <c r="O34" i="204"/>
  <c r="Q34" i="204"/>
  <c r="O34" i="209"/>
  <c r="O34" i="155"/>
  <c r="Q34" i="155"/>
  <c r="O34" i="154"/>
  <c r="Q34" i="154"/>
  <c r="O34" i="130"/>
  <c r="Q34" i="130"/>
  <c r="O34" i="153"/>
  <c r="Q34" i="153"/>
  <c r="O34" i="152"/>
  <c r="O34" i="52"/>
  <c r="Q34" i="52"/>
  <c r="O38" i="163"/>
  <c r="Q38" i="163"/>
  <c r="O38" i="162"/>
  <c r="O38" i="166"/>
  <c r="Q38" i="166"/>
  <c r="O38" i="164"/>
  <c r="O38" i="161"/>
  <c r="Q38" i="161"/>
  <c r="O38" i="160"/>
  <c r="Q38" i="160"/>
  <c r="O36" i="178"/>
  <c r="O36" i="173"/>
  <c r="O36" i="177"/>
  <c r="O36" i="176"/>
  <c r="O36" i="175"/>
  <c r="O36" i="174"/>
  <c r="O36" i="189"/>
  <c r="Q36" i="189"/>
  <c r="O36" i="187"/>
  <c r="O36" i="185"/>
  <c r="O36" i="190"/>
  <c r="Q36" i="190"/>
  <c r="O36" i="188"/>
  <c r="Q36" i="188"/>
  <c r="O36" i="186"/>
  <c r="Q36" i="186"/>
  <c r="O36" i="202"/>
  <c r="Q36" i="202"/>
  <c r="O36" i="200"/>
  <c r="Q36" i="200"/>
  <c r="O36" i="199"/>
  <c r="O36" i="197"/>
  <c r="Q36" i="197"/>
  <c r="O36" i="203"/>
  <c r="Q36" i="203"/>
  <c r="O36" i="201"/>
  <c r="O38" i="178"/>
  <c r="Q38" i="178"/>
  <c r="O38" i="177"/>
  <c r="O38" i="173"/>
  <c r="Q38" i="173"/>
  <c r="O38" i="176"/>
  <c r="Q38" i="176"/>
  <c r="O38" i="175"/>
  <c r="Q38" i="175"/>
  <c r="O38" i="174"/>
  <c r="Q38" i="174"/>
  <c r="O38" i="189"/>
  <c r="O38" i="187"/>
  <c r="Q38" i="187"/>
  <c r="O38" i="185"/>
  <c r="Q38" i="185"/>
  <c r="O38" i="190"/>
  <c r="O38" i="188"/>
  <c r="O38" i="186"/>
  <c r="O38" i="202"/>
  <c r="O38" i="200"/>
  <c r="O38" i="199"/>
  <c r="Q38" i="199"/>
  <c r="O38" i="197"/>
  <c r="O38" i="203"/>
  <c r="O38" i="201"/>
  <c r="Q38" i="201"/>
  <c r="O38" i="211"/>
  <c r="O38" i="210"/>
  <c r="Q38" i="210"/>
  <c r="O38" i="204"/>
  <c r="Q38" i="204"/>
  <c r="O38" i="209"/>
  <c r="O38" i="155"/>
  <c r="Q38" i="155"/>
  <c r="O38" i="154"/>
  <c r="Q38" i="154"/>
  <c r="O38" i="130"/>
  <c r="Q38" i="130"/>
  <c r="O38" i="153"/>
  <c r="Q38" i="153"/>
  <c r="O38" i="152"/>
  <c r="O38" i="52"/>
  <c r="Q38" i="52"/>
  <c r="O38" i="183"/>
  <c r="O38" i="184"/>
  <c r="O38" i="182"/>
  <c r="Q38" i="182"/>
  <c r="O38" i="180"/>
  <c r="Q38" i="180"/>
  <c r="O38" i="181"/>
  <c r="Q38" i="181"/>
  <c r="O38" i="179"/>
  <c r="Q38" i="179"/>
  <c r="O38" i="212"/>
  <c r="O38" i="208"/>
  <c r="Q38" i="208"/>
  <c r="O38" i="207"/>
  <c r="Q38" i="207"/>
  <c r="O38" i="206"/>
  <c r="Q38" i="206"/>
  <c r="O38" i="205"/>
  <c r="O40" i="155"/>
  <c r="O40" i="154"/>
  <c r="O40" i="130"/>
  <c r="O40" i="153"/>
  <c r="O40" i="152"/>
  <c r="Q40" i="152"/>
  <c r="O40" i="52"/>
  <c r="O40" i="183"/>
  <c r="Q40" i="183"/>
  <c r="O40" i="184"/>
  <c r="Q40" i="184"/>
  <c r="O40" i="182"/>
  <c r="O40" i="180"/>
  <c r="O40" i="181"/>
  <c r="O40" i="179"/>
  <c r="O40" i="212"/>
  <c r="Q40" i="212"/>
  <c r="O40" i="208"/>
  <c r="O40" i="207"/>
  <c r="O40" i="206"/>
  <c r="O40" i="205"/>
  <c r="Q40" i="205"/>
  <c r="O28" i="159"/>
  <c r="Q28" i="159"/>
  <c r="O28" i="158"/>
  <c r="Q28" i="158"/>
  <c r="O28" i="156"/>
  <c r="Q28" i="156"/>
  <c r="O28" i="151"/>
  <c r="Q28" i="151"/>
  <c r="O28" i="150"/>
  <c r="Q28" i="150"/>
  <c r="O28" i="157"/>
  <c r="Q28" i="157"/>
  <c r="O28" i="172"/>
  <c r="Q28" i="172"/>
  <c r="O28" i="171"/>
  <c r="Q28" i="171"/>
  <c r="O28" i="170"/>
  <c r="Q28" i="170"/>
  <c r="O28" i="169"/>
  <c r="Q28" i="169"/>
  <c r="O28" i="168"/>
  <c r="Q28" i="168"/>
  <c r="O28" i="167"/>
  <c r="Q28" i="167"/>
  <c r="O28" i="183"/>
  <c r="Q28" i="183"/>
  <c r="O28" i="184"/>
  <c r="Q28" i="184"/>
  <c r="O28" i="182"/>
  <c r="Q28" i="182"/>
  <c r="O28" i="181"/>
  <c r="Q28" i="181"/>
  <c r="O28" i="179"/>
  <c r="Q28" i="179"/>
  <c r="O28" i="180"/>
  <c r="Q28" i="180"/>
  <c r="O28" i="196"/>
  <c r="Q28" i="196"/>
  <c r="O28" i="195"/>
  <c r="Q28" i="195"/>
  <c r="O28" i="194"/>
  <c r="Q28" i="194"/>
  <c r="O28" i="193"/>
  <c r="Q28" i="193"/>
  <c r="O28" i="192"/>
  <c r="Q28" i="192"/>
  <c r="O28" i="191"/>
  <c r="Q28" i="191"/>
  <c r="O28" i="212"/>
  <c r="Q28" i="212"/>
  <c r="O28" i="208"/>
  <c r="Q28" i="208"/>
  <c r="O28" i="207"/>
  <c r="Q28" i="207"/>
  <c r="O28" i="206"/>
  <c r="Q28" i="206"/>
  <c r="O28" i="205"/>
  <c r="Q28" i="205"/>
  <c r="O30" i="159"/>
  <c r="Q30" i="159"/>
  <c r="O30" i="158"/>
  <c r="O30" i="157"/>
  <c r="O30" i="156"/>
  <c r="Q30" i="156"/>
  <c r="O30" i="151"/>
  <c r="Q30" i="151"/>
  <c r="O30" i="150"/>
  <c r="O30" i="170"/>
  <c r="Q30" i="170"/>
  <c r="O30" i="169"/>
  <c r="Q30" i="169"/>
  <c r="O30" i="168"/>
  <c r="Q30" i="168"/>
  <c r="O30" i="167"/>
  <c r="Q30" i="167"/>
  <c r="O30" i="172"/>
  <c r="O30" i="171"/>
  <c r="O30" i="183"/>
  <c r="O30" i="184"/>
  <c r="O30" i="182"/>
  <c r="Q30" i="182"/>
  <c r="O30" i="180"/>
  <c r="O30" i="181"/>
  <c r="Q30" i="181"/>
  <c r="O30" i="179"/>
  <c r="Q30" i="179"/>
  <c r="O30" i="196"/>
  <c r="Q30" i="196"/>
  <c r="O30" i="195"/>
  <c r="Q30" i="195"/>
  <c r="O30" i="194"/>
  <c r="O30" i="192"/>
  <c r="Q30" i="192"/>
  <c r="O30" i="191"/>
  <c r="Q30" i="191"/>
  <c r="O30" i="193"/>
  <c r="O30" i="212"/>
  <c r="O30" i="208"/>
  <c r="Q30" i="208"/>
  <c r="O30" i="207"/>
  <c r="Q30" i="207"/>
  <c r="O30" i="206"/>
  <c r="Q30" i="206"/>
  <c r="O30" i="205"/>
  <c r="O32" i="159"/>
  <c r="O32" i="158"/>
  <c r="Q32" i="158"/>
  <c r="O32" i="150"/>
  <c r="Q32" i="150"/>
  <c r="O32" i="157"/>
  <c r="Q32" i="157"/>
  <c r="O32" i="156"/>
  <c r="O32" i="151"/>
  <c r="O32" i="170"/>
  <c r="O32" i="169"/>
  <c r="O32" i="168"/>
  <c r="O32" i="167"/>
  <c r="O32" i="172"/>
  <c r="Q32" i="172"/>
  <c r="O32" i="171"/>
  <c r="Q32" i="171"/>
  <c r="O32" i="183"/>
  <c r="Q32" i="183"/>
  <c r="O32" i="184"/>
  <c r="Q32" i="184"/>
  <c r="O32" i="182"/>
  <c r="O32" i="180"/>
  <c r="O32" i="181"/>
  <c r="O32" i="179"/>
  <c r="O32" i="196"/>
  <c r="O32" i="195"/>
  <c r="O32" i="194"/>
  <c r="Q32" i="194"/>
  <c r="O32" i="192"/>
  <c r="O32" i="191"/>
  <c r="O32" i="193"/>
  <c r="Q32" i="193"/>
  <c r="O32" i="212"/>
  <c r="Q32" i="212"/>
  <c r="O32" i="208"/>
  <c r="O32" i="207"/>
  <c r="O32" i="206"/>
  <c r="O32" i="205"/>
  <c r="Q32" i="205"/>
  <c r="O34" i="159"/>
  <c r="Q34" i="159"/>
  <c r="O34" i="158"/>
  <c r="O34" i="157"/>
  <c r="O34" i="156"/>
  <c r="Q34" i="156"/>
  <c r="O34" i="151"/>
  <c r="Q34" i="151"/>
  <c r="O34" i="150"/>
  <c r="O34" i="170"/>
  <c r="Q34" i="170"/>
  <c r="O34" i="169"/>
  <c r="Q34" i="169"/>
  <c r="O34" i="168"/>
  <c r="Q34" i="168"/>
  <c r="O34" i="167"/>
  <c r="Q34" i="167"/>
  <c r="O34" i="172"/>
  <c r="O34" i="171"/>
  <c r="O34" i="183"/>
  <c r="O34" i="184"/>
  <c r="O34" i="182"/>
  <c r="Q34" i="182"/>
  <c r="O34" i="180"/>
  <c r="Q34" i="180"/>
  <c r="O34" i="181"/>
  <c r="Q34" i="181"/>
  <c r="O34" i="179"/>
  <c r="O34" i="196"/>
  <c r="Q34" i="196"/>
  <c r="O34" i="195"/>
  <c r="Q34" i="195"/>
  <c r="O34" i="194"/>
  <c r="O34" i="192"/>
  <c r="Q34" i="192"/>
  <c r="O34" i="191"/>
  <c r="Q34" i="191"/>
  <c r="O34" i="193"/>
  <c r="O34" i="212"/>
  <c r="O34" i="208"/>
  <c r="Q34" i="208"/>
  <c r="O34" i="207"/>
  <c r="Q34" i="207"/>
  <c r="O34" i="206"/>
  <c r="Q34" i="206"/>
  <c r="O34" i="205"/>
  <c r="O36" i="159"/>
  <c r="O36" i="158"/>
  <c r="Q36" i="158"/>
  <c r="O36" i="150"/>
  <c r="Q36" i="150"/>
  <c r="O36" i="157"/>
  <c r="Q36" i="157"/>
  <c r="O36" i="156"/>
  <c r="O36" i="151"/>
  <c r="O36" i="211"/>
  <c r="O36" i="210"/>
  <c r="O36" i="204"/>
  <c r="O36" i="209"/>
  <c r="Q36" i="209"/>
  <c r="O36" i="155"/>
  <c r="O36" i="154"/>
  <c r="O36" i="130"/>
  <c r="O36" i="153"/>
  <c r="O36" i="152"/>
  <c r="Q36" i="152"/>
  <c r="O36" i="52"/>
  <c r="O36" i="170"/>
  <c r="O36" i="169"/>
  <c r="O36" i="168"/>
  <c r="O36" i="167"/>
  <c r="O36" i="172"/>
  <c r="Q36" i="172"/>
  <c r="O36" i="171"/>
  <c r="Q36" i="171"/>
  <c r="O36" i="183"/>
  <c r="Q36" i="183"/>
  <c r="O36" i="184"/>
  <c r="Q36" i="184"/>
  <c r="O36" i="182"/>
  <c r="O36" i="180"/>
  <c r="O36" i="181"/>
  <c r="O36" i="179"/>
  <c r="O36" i="196"/>
  <c r="O36" i="195"/>
  <c r="O36" i="194"/>
  <c r="Q36" i="194"/>
  <c r="O36" i="192"/>
  <c r="O36" i="191"/>
  <c r="O36" i="193"/>
  <c r="Q36" i="193"/>
  <c r="O36" i="212"/>
  <c r="Q36" i="212"/>
  <c r="O36" i="208"/>
  <c r="O36" i="207"/>
  <c r="O36" i="206"/>
  <c r="O36" i="205"/>
  <c r="Q36" i="205"/>
  <c r="O38" i="159"/>
  <c r="Q38" i="159"/>
  <c r="O38" i="158"/>
  <c r="O38" i="157"/>
  <c r="O38" i="156"/>
  <c r="Q38" i="156"/>
  <c r="O38" i="151"/>
  <c r="Q38" i="151"/>
  <c r="O38" i="150"/>
  <c r="O38" i="170"/>
  <c r="Q38" i="170"/>
  <c r="O38" i="169"/>
  <c r="Q38" i="169"/>
  <c r="O38" i="168"/>
  <c r="Q38" i="168"/>
  <c r="O38" i="167"/>
  <c r="Q38" i="167"/>
  <c r="O38" i="172"/>
  <c r="O38" i="171"/>
  <c r="O38" i="196"/>
  <c r="Q38" i="196"/>
  <c r="O38" i="195"/>
  <c r="Q38" i="195"/>
  <c r="O38" i="194"/>
  <c r="O38" i="192"/>
  <c r="Q38" i="192"/>
  <c r="O38" i="191"/>
  <c r="Q38" i="191"/>
  <c r="O38" i="193"/>
  <c r="O40" i="170"/>
  <c r="O40" i="169"/>
  <c r="O40" i="168"/>
  <c r="O40" i="167"/>
  <c r="O40" i="172"/>
  <c r="Q40" i="172"/>
  <c r="O40" i="171"/>
  <c r="Q40" i="171"/>
  <c r="O40" i="196"/>
  <c r="O40" i="195"/>
  <c r="O40" i="194"/>
  <c r="Q40" i="194"/>
  <c r="O40" i="192"/>
  <c r="O40" i="191"/>
  <c r="O40" i="193"/>
  <c r="Q40" i="193"/>
  <c r="C394" i="49"/>
  <c r="E394" i="49"/>
  <c r="G394" i="49"/>
  <c r="I394" i="49"/>
  <c r="K394" i="49"/>
  <c r="B46" i="49"/>
  <c r="B37" i="49"/>
  <c r="B30" i="49"/>
  <c r="R28" i="202"/>
  <c r="R28" i="203"/>
  <c r="R28" i="177"/>
  <c r="R28" i="178"/>
  <c r="R28" i="155"/>
  <c r="R28" i="154"/>
  <c r="R28" i="189"/>
  <c r="R28" i="190"/>
  <c r="R28" i="166"/>
  <c r="R28" i="164"/>
  <c r="B29" i="49"/>
  <c r="B50" i="49"/>
  <c r="B41" i="49"/>
  <c r="B28" i="49"/>
  <c r="B27" i="49"/>
  <c r="B26" i="49"/>
  <c r="B48" i="49"/>
  <c r="B39" i="49"/>
  <c r="B47" i="49"/>
  <c r="B38" i="49"/>
  <c r="P16" i="213"/>
  <c r="P16" i="211"/>
  <c r="P16" i="210"/>
  <c r="P16" i="209"/>
  <c r="P16" i="204"/>
  <c r="P16" i="212"/>
  <c r="P16" i="205"/>
  <c r="P16" i="203"/>
  <c r="P16" i="199"/>
  <c r="P16" i="208"/>
  <c r="P16" i="207"/>
  <c r="P16" i="206"/>
  <c r="P16" i="202"/>
  <c r="P16" i="201"/>
  <c r="P16" i="200"/>
  <c r="P16" i="197"/>
  <c r="P16" i="196"/>
  <c r="P16" i="195"/>
  <c r="P16" i="193"/>
  <c r="P16" i="192"/>
  <c r="P16" i="191"/>
  <c r="P16" i="190"/>
  <c r="P16" i="188"/>
  <c r="P16" i="187"/>
  <c r="P16" i="186"/>
  <c r="P16" i="185"/>
  <c r="P16" i="184"/>
  <c r="P16" i="194"/>
  <c r="P16" i="189"/>
  <c r="P16" i="183"/>
  <c r="P16" i="180"/>
  <c r="P16" i="182"/>
  <c r="P16" i="181"/>
  <c r="P16" i="179"/>
  <c r="P16" i="178"/>
  <c r="P16" i="173"/>
  <c r="P16" i="172"/>
  <c r="P16" i="171"/>
  <c r="P16" i="170"/>
  <c r="P16" i="169"/>
  <c r="P16" i="168"/>
  <c r="P16" i="167"/>
  <c r="P16" i="164"/>
  <c r="P16" i="163"/>
  <c r="P16" i="159"/>
  <c r="P16" i="177"/>
  <c r="P16" i="176"/>
  <c r="P16" i="175"/>
  <c r="P16" i="174"/>
  <c r="P16" i="166"/>
  <c r="P16" i="162"/>
  <c r="P16" i="161"/>
  <c r="P16" i="160"/>
  <c r="P16" i="158"/>
  <c r="P16" i="157"/>
  <c r="P16" i="155"/>
  <c r="P16" i="154"/>
  <c r="P16" i="152"/>
  <c r="P16" i="130"/>
  <c r="P16" i="156"/>
  <c r="P16" i="151"/>
  <c r="P16" i="150"/>
  <c r="P16" i="153"/>
  <c r="P16" i="52"/>
  <c r="B49" i="49"/>
  <c r="B40" i="49"/>
  <c r="X17" i="49"/>
  <c r="N17" i="49"/>
  <c r="J17" i="49"/>
  <c r="Z16" i="49"/>
  <c r="X16" i="49"/>
  <c r="N16" i="49"/>
  <c r="J16" i="49"/>
  <c r="J15" i="49"/>
  <c r="N14" i="49"/>
  <c r="N13" i="49"/>
  <c r="J13" i="49"/>
  <c r="J12" i="49"/>
  <c r="N11" i="49"/>
  <c r="J11" i="49"/>
  <c r="N10" i="49"/>
  <c r="J10" i="49"/>
  <c r="N9" i="49"/>
  <c r="J9" i="49"/>
  <c r="B8" i="49"/>
  <c r="X19" i="49"/>
  <c r="Y26" i="49"/>
  <c r="P15" i="211"/>
  <c r="P15" i="210"/>
  <c r="P15" i="209"/>
  <c r="P15" i="213"/>
  <c r="P15" i="212"/>
  <c r="P15" i="204"/>
  <c r="P15" i="205"/>
  <c r="P15" i="203"/>
  <c r="P15" i="199"/>
  <c r="P15" i="208"/>
  <c r="P15" i="207"/>
  <c r="P15" i="206"/>
  <c r="P15" i="202"/>
  <c r="P15" i="201"/>
  <c r="P15" i="200"/>
  <c r="P15" i="197"/>
  <c r="P15" i="196"/>
  <c r="P15" i="193"/>
  <c r="P15" i="192"/>
  <c r="P15" i="191"/>
  <c r="P15" i="190"/>
  <c r="P15" i="188"/>
  <c r="P15" i="187"/>
  <c r="P15" i="186"/>
  <c r="P15" i="185"/>
  <c r="P15" i="184"/>
  <c r="P15" i="195"/>
  <c r="P15" i="194"/>
  <c r="P15" i="189"/>
  <c r="P15" i="183"/>
  <c r="P15" i="180"/>
  <c r="P15" i="182"/>
  <c r="P15" i="181"/>
  <c r="P15" i="179"/>
  <c r="P15" i="173"/>
  <c r="P15" i="172"/>
  <c r="P15" i="171"/>
  <c r="P15" i="170"/>
  <c r="P15" i="169"/>
  <c r="P15" i="168"/>
  <c r="P15" i="164"/>
  <c r="P15" i="163"/>
  <c r="P15" i="160"/>
  <c r="P15" i="159"/>
  <c r="P15" i="178"/>
  <c r="P15" i="177"/>
  <c r="P15" i="176"/>
  <c r="P15" i="175"/>
  <c r="P15" i="174"/>
  <c r="P15" i="167"/>
  <c r="P15" i="166"/>
  <c r="P15" i="162"/>
  <c r="P15" i="161"/>
  <c r="P15" i="158"/>
  <c r="P15" i="157"/>
  <c r="P15" i="155"/>
  <c r="P15" i="154"/>
  <c r="P15" i="130"/>
  <c r="P15" i="52"/>
  <c r="P15" i="156"/>
  <c r="P15" i="151"/>
  <c r="P15" i="150"/>
  <c r="P15" i="153"/>
  <c r="P15" i="152"/>
  <c r="B20" i="49"/>
  <c r="N38" i="213"/>
  <c r="N34" i="213"/>
  <c r="N30" i="213"/>
  <c r="N28" i="213"/>
  <c r="N40" i="213"/>
  <c r="N36" i="213"/>
  <c r="N32" i="213"/>
  <c r="N40" i="211"/>
  <c r="N28" i="211"/>
  <c r="N28" i="210"/>
  <c r="N40" i="209"/>
  <c r="N38" i="209"/>
  <c r="N36" i="209"/>
  <c r="N34" i="209"/>
  <c r="N32" i="209"/>
  <c r="N30" i="209"/>
  <c r="N28" i="209"/>
  <c r="N28" i="204"/>
  <c r="N40" i="212"/>
  <c r="N38" i="212"/>
  <c r="N36" i="212"/>
  <c r="N34" i="212"/>
  <c r="N32" i="212"/>
  <c r="N30" i="212"/>
  <c r="N28" i="212"/>
  <c r="N38" i="211"/>
  <c r="N36" i="211"/>
  <c r="N34" i="211"/>
  <c r="N32" i="211"/>
  <c r="N30" i="211"/>
  <c r="N40" i="210"/>
  <c r="N38" i="210"/>
  <c r="N36" i="210"/>
  <c r="N34" i="210"/>
  <c r="N32" i="210"/>
  <c r="N30" i="210"/>
  <c r="N40" i="204"/>
  <c r="N38" i="204"/>
  <c r="N36" i="204"/>
  <c r="N34" i="204"/>
  <c r="N32" i="204"/>
  <c r="N30" i="204"/>
  <c r="N40" i="208"/>
  <c r="N38" i="208"/>
  <c r="N36" i="208"/>
  <c r="N34" i="208"/>
  <c r="N32" i="208"/>
  <c r="N30" i="208"/>
  <c r="N40" i="207"/>
  <c r="N38" i="207"/>
  <c r="N36" i="207"/>
  <c r="N34" i="207"/>
  <c r="N32" i="207"/>
  <c r="N30" i="207"/>
  <c r="N40" i="206"/>
  <c r="N38" i="206"/>
  <c r="N36" i="206"/>
  <c r="N34" i="206"/>
  <c r="N32" i="206"/>
  <c r="N30" i="206"/>
  <c r="N40" i="205"/>
  <c r="N38" i="205"/>
  <c r="N36" i="205"/>
  <c r="N34" i="205"/>
  <c r="N32" i="205"/>
  <c r="N30" i="205"/>
  <c r="N28" i="205"/>
  <c r="N40" i="203"/>
  <c r="N38" i="203"/>
  <c r="N36" i="203"/>
  <c r="N34" i="203"/>
  <c r="N32" i="203"/>
  <c r="N30" i="203"/>
  <c r="N28" i="203"/>
  <c r="N40" i="201"/>
  <c r="N38" i="201"/>
  <c r="N36" i="201"/>
  <c r="N34" i="201"/>
  <c r="N32" i="201"/>
  <c r="N30" i="201"/>
  <c r="N28" i="199"/>
  <c r="N40" i="196"/>
  <c r="N38" i="196"/>
  <c r="N36" i="196"/>
  <c r="N34" i="196"/>
  <c r="N32" i="196"/>
  <c r="N30" i="196"/>
  <c r="N40" i="195"/>
  <c r="N38" i="195"/>
  <c r="N36" i="195"/>
  <c r="N34" i="195"/>
  <c r="N32" i="195"/>
  <c r="N30" i="195"/>
  <c r="N28" i="208"/>
  <c r="N28" i="207"/>
  <c r="N28" i="206"/>
  <c r="N40" i="202"/>
  <c r="N38" i="202"/>
  <c r="N36" i="202"/>
  <c r="N34" i="202"/>
  <c r="N32" i="202"/>
  <c r="N30" i="202"/>
  <c r="N28" i="202"/>
  <c r="N28" i="201"/>
  <c r="N40" i="200"/>
  <c r="N38" i="200"/>
  <c r="N36" i="200"/>
  <c r="N34" i="200"/>
  <c r="N32" i="200"/>
  <c r="N30" i="200"/>
  <c r="N28" i="200"/>
  <c r="N40" i="199"/>
  <c r="N38" i="199"/>
  <c r="N36" i="199"/>
  <c r="N34" i="199"/>
  <c r="N32" i="199"/>
  <c r="N30" i="199"/>
  <c r="N40" i="197"/>
  <c r="N38" i="197"/>
  <c r="N36" i="197"/>
  <c r="N34" i="197"/>
  <c r="N32" i="197"/>
  <c r="N30" i="197"/>
  <c r="N28" i="197"/>
  <c r="N28" i="196"/>
  <c r="N28" i="195"/>
  <c r="N40" i="193"/>
  <c r="N38" i="193"/>
  <c r="N36" i="193"/>
  <c r="N34" i="193"/>
  <c r="N32" i="193"/>
  <c r="N30" i="193"/>
  <c r="N28" i="193"/>
  <c r="N28" i="192"/>
  <c r="N28" i="191"/>
  <c r="N40" i="190"/>
  <c r="N38" i="190"/>
  <c r="N36" i="190"/>
  <c r="N34" i="190"/>
  <c r="N32" i="190"/>
  <c r="N30" i="190"/>
  <c r="N28" i="190"/>
  <c r="N40" i="188"/>
  <c r="N38" i="188"/>
  <c r="N36" i="188"/>
  <c r="N34" i="188"/>
  <c r="N32" i="188"/>
  <c r="N30" i="188"/>
  <c r="N28" i="188"/>
  <c r="N28" i="187"/>
  <c r="N40" i="186"/>
  <c r="N38" i="186"/>
  <c r="N36" i="186"/>
  <c r="N34" i="186"/>
  <c r="N32" i="186"/>
  <c r="N30" i="186"/>
  <c r="N28" i="186"/>
  <c r="N28" i="185"/>
  <c r="N40" i="184"/>
  <c r="N38" i="184"/>
  <c r="N36" i="184"/>
  <c r="N34" i="184"/>
  <c r="N32" i="184"/>
  <c r="N30" i="184"/>
  <c r="N28" i="184"/>
  <c r="N40" i="182"/>
  <c r="N38" i="182"/>
  <c r="N36" i="182"/>
  <c r="N34" i="182"/>
  <c r="N32" i="182"/>
  <c r="N30" i="182"/>
  <c r="N40" i="194"/>
  <c r="N38" i="194"/>
  <c r="N36" i="194"/>
  <c r="N34" i="194"/>
  <c r="N32" i="194"/>
  <c r="N30" i="194"/>
  <c r="N28" i="194"/>
  <c r="N40" i="192"/>
  <c r="N38" i="192"/>
  <c r="N36" i="192"/>
  <c r="N34" i="192"/>
  <c r="N32" i="192"/>
  <c r="N30" i="192"/>
  <c r="N40" i="191"/>
  <c r="N38" i="191"/>
  <c r="N36" i="191"/>
  <c r="N34" i="191"/>
  <c r="N32" i="191"/>
  <c r="N30" i="191"/>
  <c r="N40" i="189"/>
  <c r="N38" i="189"/>
  <c r="N36" i="189"/>
  <c r="N34" i="189"/>
  <c r="N32" i="189"/>
  <c r="N30" i="189"/>
  <c r="N28" i="189"/>
  <c r="N40" i="187"/>
  <c r="N38" i="187"/>
  <c r="N36" i="187"/>
  <c r="N34" i="187"/>
  <c r="N32" i="187"/>
  <c r="N30" i="187"/>
  <c r="N40" i="185"/>
  <c r="N38" i="185"/>
  <c r="N36" i="185"/>
  <c r="N34" i="185"/>
  <c r="N32" i="185"/>
  <c r="N30" i="185"/>
  <c r="N40" i="183"/>
  <c r="N38" i="183"/>
  <c r="N36" i="183"/>
  <c r="N34" i="183"/>
  <c r="N32" i="183"/>
  <c r="N30" i="183"/>
  <c r="N28" i="183"/>
  <c r="N40" i="181"/>
  <c r="N38" i="181"/>
  <c r="N36" i="181"/>
  <c r="N34" i="181"/>
  <c r="N32" i="181"/>
  <c r="N30" i="181"/>
  <c r="N28" i="180"/>
  <c r="N40" i="179"/>
  <c r="N38" i="179"/>
  <c r="N36" i="179"/>
  <c r="N34" i="179"/>
  <c r="N32" i="179"/>
  <c r="N30" i="179"/>
  <c r="N28" i="182"/>
  <c r="N28" i="181"/>
  <c r="N40" i="180"/>
  <c r="N38" i="180"/>
  <c r="N36" i="180"/>
  <c r="N34" i="180"/>
  <c r="N32" i="180"/>
  <c r="N30" i="180"/>
  <c r="N28" i="179"/>
  <c r="N28" i="178"/>
  <c r="N40" i="177"/>
  <c r="N36" i="177"/>
  <c r="N32" i="177"/>
  <c r="N40" i="176"/>
  <c r="N38" i="176"/>
  <c r="N36" i="176"/>
  <c r="N34" i="176"/>
  <c r="N32" i="176"/>
  <c r="N30" i="176"/>
  <c r="N40" i="175"/>
  <c r="N38" i="175"/>
  <c r="N36" i="175"/>
  <c r="N34" i="175"/>
  <c r="N32" i="175"/>
  <c r="N30" i="175"/>
  <c r="N40" i="174"/>
  <c r="N38" i="174"/>
  <c r="N36" i="174"/>
  <c r="N34" i="174"/>
  <c r="N32" i="174"/>
  <c r="N30" i="174"/>
  <c r="N28" i="173"/>
  <c r="N40" i="172"/>
  <c r="N38" i="172"/>
  <c r="N36" i="172"/>
  <c r="N34" i="172"/>
  <c r="N32" i="172"/>
  <c r="N30" i="172"/>
  <c r="N28" i="172"/>
  <c r="N40" i="171"/>
  <c r="N38" i="171"/>
  <c r="N36" i="171"/>
  <c r="N34" i="171"/>
  <c r="N32" i="171"/>
  <c r="N30" i="171"/>
  <c r="N28" i="171"/>
  <c r="N28" i="170"/>
  <c r="N28" i="169"/>
  <c r="N28" i="168"/>
  <c r="N28" i="167"/>
  <c r="N40" i="166"/>
  <c r="N38" i="166"/>
  <c r="N36" i="166"/>
  <c r="N34" i="166"/>
  <c r="N32" i="166"/>
  <c r="N30" i="166"/>
  <c r="N40" i="164"/>
  <c r="N38" i="164"/>
  <c r="N36" i="164"/>
  <c r="N34" i="164"/>
  <c r="N32" i="164"/>
  <c r="N30" i="164"/>
  <c r="N28" i="164"/>
  <c r="N28" i="163"/>
  <c r="N40" i="161"/>
  <c r="N38" i="161"/>
  <c r="N36" i="161"/>
  <c r="N34" i="161"/>
  <c r="N32" i="161"/>
  <c r="N30" i="161"/>
  <c r="N40" i="160"/>
  <c r="N38" i="160"/>
  <c r="N36" i="160"/>
  <c r="N34" i="160"/>
  <c r="N32" i="160"/>
  <c r="N30" i="160"/>
  <c r="N28" i="159"/>
  <c r="N40" i="178"/>
  <c r="N38" i="178"/>
  <c r="N36" i="178"/>
  <c r="N34" i="178"/>
  <c r="N32" i="178"/>
  <c r="N30" i="178"/>
  <c r="N38" i="177"/>
  <c r="N34" i="177"/>
  <c r="N30" i="177"/>
  <c r="N28" i="177"/>
  <c r="N28" i="176"/>
  <c r="N28" i="175"/>
  <c r="N28" i="174"/>
  <c r="N40" i="173"/>
  <c r="N38" i="173"/>
  <c r="N36" i="173"/>
  <c r="N34" i="173"/>
  <c r="N32" i="173"/>
  <c r="N30" i="173"/>
  <c r="N40" i="170"/>
  <c r="N38" i="170"/>
  <c r="N36" i="170"/>
  <c r="N34" i="170"/>
  <c r="N32" i="170"/>
  <c r="N30" i="170"/>
  <c r="N40" i="169"/>
  <c r="N38" i="169"/>
  <c r="N36" i="169"/>
  <c r="N34" i="169"/>
  <c r="N32" i="169"/>
  <c r="N30" i="169"/>
  <c r="N40" i="168"/>
  <c r="N38" i="168"/>
  <c r="N36" i="168"/>
  <c r="N34" i="168"/>
  <c r="N32" i="168"/>
  <c r="N30" i="168"/>
  <c r="N40" i="167"/>
  <c r="N38" i="167"/>
  <c r="N36" i="167"/>
  <c r="N34" i="167"/>
  <c r="N32" i="167"/>
  <c r="N30" i="167"/>
  <c r="N28" i="166"/>
  <c r="N40" i="163"/>
  <c r="N38" i="163"/>
  <c r="N36" i="163"/>
  <c r="N34" i="163"/>
  <c r="N32" i="163"/>
  <c r="N30" i="163"/>
  <c r="N40" i="162"/>
  <c r="N38" i="162"/>
  <c r="N36" i="162"/>
  <c r="N34" i="162"/>
  <c r="N32" i="162"/>
  <c r="N30" i="162"/>
  <c r="N28" i="162"/>
  <c r="N28" i="161"/>
  <c r="N28" i="160"/>
  <c r="N40" i="159"/>
  <c r="N38" i="159"/>
  <c r="N36" i="159"/>
  <c r="N34" i="159"/>
  <c r="N32" i="159"/>
  <c r="N30" i="159"/>
  <c r="N40" i="158"/>
  <c r="N38" i="158"/>
  <c r="N36" i="158"/>
  <c r="N34" i="158"/>
  <c r="N32" i="158"/>
  <c r="N30" i="158"/>
  <c r="N28" i="158"/>
  <c r="N40" i="157"/>
  <c r="N38" i="157"/>
  <c r="N36" i="157"/>
  <c r="N34" i="157"/>
  <c r="N32" i="157"/>
  <c r="N30" i="157"/>
  <c r="N28" i="157"/>
  <c r="N40" i="156"/>
  <c r="N38" i="156"/>
  <c r="N36" i="156"/>
  <c r="N34" i="156"/>
  <c r="N32" i="156"/>
  <c r="N30" i="156"/>
  <c r="N40" i="151"/>
  <c r="N38" i="151"/>
  <c r="N36" i="151"/>
  <c r="N34" i="151"/>
  <c r="N32" i="151"/>
  <c r="N30" i="151"/>
  <c r="N38" i="150"/>
  <c r="N34" i="150"/>
  <c r="N30" i="150"/>
  <c r="N28" i="155"/>
  <c r="N28" i="154"/>
  <c r="N40" i="153"/>
  <c r="N38" i="153"/>
  <c r="N36" i="153"/>
  <c r="N34" i="153"/>
  <c r="N32" i="153"/>
  <c r="N30" i="153"/>
  <c r="N40" i="152"/>
  <c r="N38" i="152"/>
  <c r="N36" i="152"/>
  <c r="N34" i="152"/>
  <c r="N32" i="152"/>
  <c r="N30" i="152"/>
  <c r="N28" i="152"/>
  <c r="N28" i="130"/>
  <c r="N40" i="52"/>
  <c r="N38" i="52"/>
  <c r="N36" i="52"/>
  <c r="N34" i="52"/>
  <c r="N32" i="52"/>
  <c r="N30" i="52"/>
  <c r="N28" i="156"/>
  <c r="N28" i="151"/>
  <c r="N40" i="150"/>
  <c r="N36" i="150"/>
  <c r="N32" i="150"/>
  <c r="N28" i="150"/>
  <c r="N40" i="155"/>
  <c r="N38" i="155"/>
  <c r="N36" i="155"/>
  <c r="N34" i="155"/>
  <c r="N32" i="155"/>
  <c r="N30" i="155"/>
  <c r="N40" i="154"/>
  <c r="N38" i="154"/>
  <c r="N36" i="154"/>
  <c r="N34" i="154"/>
  <c r="N32" i="154"/>
  <c r="N30" i="154"/>
  <c r="N28" i="153"/>
  <c r="N40" i="130"/>
  <c r="N38" i="130"/>
  <c r="N36" i="130"/>
  <c r="N34" i="130"/>
  <c r="N32" i="130"/>
  <c r="N30" i="130"/>
  <c r="N28" i="52"/>
  <c r="M109" i="49"/>
  <c r="K109" i="49"/>
  <c r="I109" i="49"/>
  <c r="G109" i="49"/>
  <c r="E109" i="49"/>
  <c r="C109" i="49"/>
  <c r="N55" i="49"/>
  <c r="L55" i="49"/>
  <c r="L69" i="49"/>
  <c r="L116" i="49"/>
  <c r="L111" i="49"/>
  <c r="J55" i="49"/>
  <c r="H55" i="49"/>
  <c r="F55" i="49"/>
  <c r="D55" i="49"/>
  <c r="N109" i="49"/>
  <c r="L109" i="49"/>
  <c r="J109" i="49"/>
  <c r="H109" i="49"/>
  <c r="F109" i="49"/>
  <c r="D109" i="49"/>
  <c r="D234" i="49"/>
  <c r="M55" i="49"/>
  <c r="K55" i="49"/>
  <c r="I55" i="49"/>
  <c r="G55" i="49"/>
  <c r="E55" i="49"/>
  <c r="C55" i="49"/>
  <c r="G157" i="49"/>
  <c r="G156" i="49"/>
  <c r="G155" i="49"/>
  <c r="G158" i="49"/>
  <c r="G161" i="49"/>
  <c r="G159" i="49"/>
  <c r="G160" i="49"/>
  <c r="K156" i="49"/>
  <c r="K157" i="49"/>
  <c r="K158" i="49"/>
  <c r="K155" i="49"/>
  <c r="K160" i="49"/>
  <c r="K159" i="49"/>
  <c r="K162" i="49"/>
  <c r="K161" i="49"/>
  <c r="D157" i="49"/>
  <c r="D158" i="49"/>
  <c r="D156" i="49"/>
  <c r="D155" i="49"/>
  <c r="D161" i="49"/>
  <c r="D162" i="49"/>
  <c r="D160" i="49"/>
  <c r="D159" i="49"/>
  <c r="H155" i="49"/>
  <c r="H156" i="49"/>
  <c r="H166" i="49"/>
  <c r="H157" i="49"/>
  <c r="H158" i="49"/>
  <c r="H162" i="49"/>
  <c r="H165" i="49"/>
  <c r="H164" i="49"/>
  <c r="H160" i="49"/>
  <c r="H163" i="49"/>
  <c r="H161" i="49"/>
  <c r="H159" i="49"/>
  <c r="E157" i="49"/>
  <c r="E156" i="49"/>
  <c r="E155" i="49"/>
  <c r="E158" i="49"/>
  <c r="E159" i="49"/>
  <c r="I155" i="49"/>
  <c r="I158" i="49"/>
  <c r="I156" i="49"/>
  <c r="I157" i="49"/>
  <c r="I160" i="49"/>
  <c r="I159" i="49"/>
  <c r="I161" i="49"/>
  <c r="F156" i="49"/>
  <c r="F158" i="49"/>
  <c r="F157" i="49"/>
  <c r="F166" i="49"/>
  <c r="F155" i="49"/>
  <c r="F163" i="49"/>
  <c r="F164" i="49"/>
  <c r="F161" i="49"/>
  <c r="F162" i="49"/>
  <c r="F165" i="49"/>
  <c r="F160" i="49"/>
  <c r="F159" i="49"/>
  <c r="J166" i="49"/>
  <c r="J157" i="49"/>
  <c r="J156" i="49"/>
  <c r="J158" i="49"/>
  <c r="J155" i="49"/>
  <c r="J162" i="49"/>
  <c r="J165" i="49"/>
  <c r="J161" i="49"/>
  <c r="J163" i="49"/>
  <c r="J164" i="49"/>
  <c r="J160" i="49"/>
  <c r="J159" i="49"/>
  <c r="E415" i="49"/>
  <c r="E417" i="49"/>
  <c r="E419" i="49"/>
  <c r="E414" i="49"/>
  <c r="E416" i="49"/>
  <c r="E418" i="49"/>
  <c r="I415" i="49"/>
  <c r="I417" i="49"/>
  <c r="I419" i="49"/>
  <c r="I421" i="49"/>
  <c r="I414" i="49"/>
  <c r="I416" i="49"/>
  <c r="I418" i="49"/>
  <c r="I420" i="49"/>
  <c r="F415" i="49"/>
  <c r="F417" i="49"/>
  <c r="F419" i="49"/>
  <c r="F421" i="49"/>
  <c r="F423" i="49"/>
  <c r="F425" i="49"/>
  <c r="F416" i="49"/>
  <c r="F418" i="49"/>
  <c r="F420" i="49"/>
  <c r="F422" i="49"/>
  <c r="F424" i="49"/>
  <c r="F426" i="49"/>
  <c r="F414" i="49"/>
  <c r="J415" i="49"/>
  <c r="J417" i="49"/>
  <c r="J419" i="49"/>
  <c r="J421" i="49"/>
  <c r="J423" i="49"/>
  <c r="J425" i="49"/>
  <c r="J416" i="49"/>
  <c r="J418" i="49"/>
  <c r="J420" i="49"/>
  <c r="J422" i="49"/>
  <c r="J424" i="49"/>
  <c r="J426" i="49"/>
  <c r="J414" i="49"/>
  <c r="C416" i="49"/>
  <c r="C418" i="49"/>
  <c r="C420" i="49"/>
  <c r="C422" i="49"/>
  <c r="C424" i="49"/>
  <c r="C426" i="49"/>
  <c r="C415" i="49"/>
  <c r="C417" i="49"/>
  <c r="C419" i="49"/>
  <c r="C421" i="49"/>
  <c r="C423" i="49"/>
  <c r="C425" i="49"/>
  <c r="C414" i="49"/>
  <c r="C158" i="49"/>
  <c r="C156" i="49"/>
  <c r="C159" i="49"/>
  <c r="C155" i="49"/>
  <c r="C163" i="49"/>
  <c r="C157" i="49"/>
  <c r="C166" i="49"/>
  <c r="C164" i="49"/>
  <c r="C161" i="49"/>
  <c r="C162" i="49"/>
  <c r="C165" i="49"/>
  <c r="C160" i="49"/>
  <c r="G416" i="49"/>
  <c r="G418" i="49"/>
  <c r="G420" i="49"/>
  <c r="G414" i="49"/>
  <c r="G415" i="49"/>
  <c r="G417" i="49"/>
  <c r="G419" i="49"/>
  <c r="G421" i="49"/>
  <c r="K416" i="49"/>
  <c r="K418" i="49"/>
  <c r="K420" i="49"/>
  <c r="K414" i="49"/>
  <c r="K415" i="49"/>
  <c r="K417" i="49"/>
  <c r="K419" i="49"/>
  <c r="K421" i="49"/>
  <c r="D416" i="49"/>
  <c r="D418" i="49"/>
  <c r="D420" i="49"/>
  <c r="D422" i="49"/>
  <c r="D415" i="49"/>
  <c r="D417" i="49"/>
  <c r="D419" i="49"/>
  <c r="D421" i="49"/>
  <c r="D414" i="49"/>
  <c r="H416" i="49"/>
  <c r="H418" i="49"/>
  <c r="H420" i="49"/>
  <c r="H422" i="49"/>
  <c r="H424" i="49"/>
  <c r="H426" i="49"/>
  <c r="H415" i="49"/>
  <c r="H417" i="49"/>
  <c r="H419" i="49"/>
  <c r="H421" i="49"/>
  <c r="H423" i="49"/>
  <c r="H425" i="49"/>
  <c r="H414" i="49"/>
  <c r="L78" i="49"/>
  <c r="L79" i="49"/>
  <c r="L156" i="49"/>
  <c r="M78" i="49"/>
  <c r="M79" i="49"/>
  <c r="M156" i="49"/>
  <c r="N78" i="49"/>
  <c r="N79" i="49"/>
  <c r="N156" i="49"/>
  <c r="E154" i="49"/>
  <c r="E274" i="49"/>
  <c r="I274" i="49"/>
  <c r="M162" i="49"/>
  <c r="M160" i="49"/>
  <c r="M274" i="49"/>
  <c r="M161" i="49"/>
  <c r="M159" i="49"/>
  <c r="M158" i="49"/>
  <c r="M157" i="49"/>
  <c r="M155" i="49"/>
  <c r="M154" i="49"/>
  <c r="F236" i="49"/>
  <c r="F238" i="49"/>
  <c r="F234" i="49"/>
  <c r="F241" i="49"/>
  <c r="F240" i="49"/>
  <c r="F242" i="49"/>
  <c r="F235" i="49"/>
  <c r="F237" i="49"/>
  <c r="F239" i="49"/>
  <c r="F243" i="49"/>
  <c r="F244" i="49"/>
  <c r="F245" i="49"/>
  <c r="F246" i="49"/>
  <c r="J236" i="49"/>
  <c r="J238" i="49"/>
  <c r="J242" i="49"/>
  <c r="J234" i="49"/>
  <c r="J241" i="49"/>
  <c r="J243" i="49"/>
  <c r="J244" i="49"/>
  <c r="J245" i="49"/>
  <c r="J246" i="49"/>
  <c r="J240" i="49"/>
  <c r="J235" i="49"/>
  <c r="J237" i="49"/>
  <c r="J239" i="49"/>
  <c r="N234" i="49"/>
  <c r="N240" i="49"/>
  <c r="N235" i="49"/>
  <c r="N243" i="49"/>
  <c r="N245" i="49"/>
  <c r="N236" i="49"/>
  <c r="N237" i="49"/>
  <c r="N238" i="49"/>
  <c r="N239" i="49"/>
  <c r="N241" i="49"/>
  <c r="N242" i="49"/>
  <c r="N244" i="49"/>
  <c r="N246" i="49"/>
  <c r="F274" i="49"/>
  <c r="F154" i="49"/>
  <c r="J274" i="49"/>
  <c r="J154" i="49"/>
  <c r="N161" i="49"/>
  <c r="N159" i="49"/>
  <c r="N158" i="49"/>
  <c r="N157" i="49"/>
  <c r="N155" i="49"/>
  <c r="N154" i="49"/>
  <c r="N166" i="49"/>
  <c r="N165" i="49"/>
  <c r="N164" i="49"/>
  <c r="N163" i="49"/>
  <c r="N162" i="49"/>
  <c r="N160" i="49"/>
  <c r="E234" i="49"/>
  <c r="E235" i="49"/>
  <c r="E236" i="49"/>
  <c r="E237" i="49"/>
  <c r="E238" i="49"/>
  <c r="E239" i="49"/>
  <c r="I240" i="49"/>
  <c r="I234" i="49"/>
  <c r="I235" i="49"/>
  <c r="I236" i="49"/>
  <c r="I237" i="49"/>
  <c r="I238" i="49"/>
  <c r="I239" i="49"/>
  <c r="I241" i="49"/>
  <c r="M240" i="49"/>
  <c r="M234" i="49"/>
  <c r="M235" i="49"/>
  <c r="M236" i="49"/>
  <c r="M237" i="49"/>
  <c r="M238" i="49"/>
  <c r="M239" i="49"/>
  <c r="M241" i="49"/>
  <c r="M242" i="49"/>
  <c r="R40" i="150"/>
  <c r="Q40" i="150"/>
  <c r="Q39" i="150"/>
  <c r="R40" i="157"/>
  <c r="Q39" i="157"/>
  <c r="R40" i="162"/>
  <c r="Q39" i="162"/>
  <c r="R40" i="163"/>
  <c r="Q40" i="163"/>
  <c r="Q39" i="163"/>
  <c r="R40" i="178"/>
  <c r="Q40" i="178"/>
  <c r="Q39" i="178"/>
  <c r="R40" i="174"/>
  <c r="Q40" i="174"/>
  <c r="Q39" i="174"/>
  <c r="R40" i="175"/>
  <c r="Q40" i="175"/>
  <c r="Q39" i="175"/>
  <c r="Q39" i="176"/>
  <c r="R40" i="176"/>
  <c r="R40" i="189"/>
  <c r="Q39" i="189"/>
  <c r="R40" i="186"/>
  <c r="Q39" i="186"/>
  <c r="R40" i="188"/>
  <c r="Q39" i="188"/>
  <c r="R40" i="200"/>
  <c r="Q39" i="200"/>
  <c r="R40" i="202"/>
  <c r="Q39" i="202"/>
  <c r="R40" i="201"/>
  <c r="Q40" i="201"/>
  <c r="Q39" i="201"/>
  <c r="Q39" i="204"/>
  <c r="R40" i="204"/>
  <c r="R40" i="210"/>
  <c r="Q40" i="210"/>
  <c r="Q39" i="210"/>
  <c r="R40" i="209"/>
  <c r="Q39" i="209"/>
  <c r="C154" i="49"/>
  <c r="G154" i="49"/>
  <c r="G274" i="49"/>
  <c r="K274" i="49"/>
  <c r="K154" i="49"/>
  <c r="D235" i="49"/>
  <c r="D237" i="49"/>
  <c r="D239" i="49"/>
  <c r="D242" i="49"/>
  <c r="D241" i="49"/>
  <c r="D236" i="49"/>
  <c r="D238" i="49"/>
  <c r="D240" i="49"/>
  <c r="H236" i="49"/>
  <c r="H238" i="49"/>
  <c r="H242" i="49"/>
  <c r="H240" i="49"/>
  <c r="H244" i="49"/>
  <c r="H246" i="49"/>
  <c r="H235" i="49"/>
  <c r="H237" i="49"/>
  <c r="H239" i="49"/>
  <c r="H243" i="49"/>
  <c r="H245" i="49"/>
  <c r="H234" i="49"/>
  <c r="H241" i="49"/>
  <c r="L236" i="49"/>
  <c r="L238" i="49"/>
  <c r="L242" i="49"/>
  <c r="L240" i="49"/>
  <c r="L243" i="49"/>
  <c r="L245" i="49"/>
  <c r="L235" i="49"/>
  <c r="L237" i="49"/>
  <c r="L239" i="49"/>
  <c r="L244" i="49"/>
  <c r="L246" i="49"/>
  <c r="L234" i="49"/>
  <c r="L241" i="49"/>
  <c r="D274" i="49"/>
  <c r="D154" i="49"/>
  <c r="H274" i="49"/>
  <c r="H154" i="49"/>
  <c r="L274" i="49"/>
  <c r="L166" i="49"/>
  <c r="L165" i="49"/>
  <c r="L164" i="49"/>
  <c r="L163" i="49"/>
  <c r="L161" i="49"/>
  <c r="L159" i="49"/>
  <c r="L158" i="49"/>
  <c r="L157" i="49"/>
  <c r="L155" i="49"/>
  <c r="L154" i="49"/>
  <c r="L162" i="49"/>
  <c r="L160" i="49"/>
  <c r="C234" i="49"/>
  <c r="C235" i="49"/>
  <c r="C236" i="49"/>
  <c r="C237" i="49"/>
  <c r="C238" i="49"/>
  <c r="C239" i="49"/>
  <c r="C240" i="49"/>
  <c r="C242" i="49"/>
  <c r="C243" i="49"/>
  <c r="C245" i="49"/>
  <c r="C244" i="49"/>
  <c r="C246" i="49"/>
  <c r="C241" i="49"/>
  <c r="G240" i="49"/>
  <c r="G234" i="49"/>
  <c r="G235" i="49"/>
  <c r="G236" i="49"/>
  <c r="G237" i="49"/>
  <c r="G238" i="49"/>
  <c r="G239" i="49"/>
  <c r="G241" i="49"/>
  <c r="K240" i="49"/>
  <c r="K234" i="49"/>
  <c r="K235" i="49"/>
  <c r="K236" i="49"/>
  <c r="K237" i="49"/>
  <c r="K238" i="49"/>
  <c r="K239" i="49"/>
  <c r="K241" i="49"/>
  <c r="R40" i="151"/>
  <c r="Q40" i="151"/>
  <c r="Q39" i="151"/>
  <c r="R40" i="156"/>
  <c r="Q40" i="156"/>
  <c r="Q39" i="156"/>
  <c r="R40" i="158"/>
  <c r="Q39" i="158"/>
  <c r="R40" i="159"/>
  <c r="Q40" i="159"/>
  <c r="Q39" i="159"/>
  <c r="R40" i="173"/>
  <c r="Q40" i="173"/>
  <c r="Q39" i="173"/>
  <c r="R40" i="160"/>
  <c r="Q40" i="160"/>
  <c r="Q39" i="160"/>
  <c r="R40" i="161"/>
  <c r="Q40" i="161"/>
  <c r="Q39" i="161"/>
  <c r="R40" i="164"/>
  <c r="Q39" i="164"/>
  <c r="R40" i="166"/>
  <c r="Q40" i="166"/>
  <c r="Q39" i="166"/>
  <c r="R40" i="177"/>
  <c r="Q40" i="177"/>
  <c r="Q39" i="177"/>
  <c r="Q39" i="185"/>
  <c r="R40" i="185"/>
  <c r="R40" i="187"/>
  <c r="Q40" i="187"/>
  <c r="Q39" i="187"/>
  <c r="R40" i="190"/>
  <c r="Q39" i="190"/>
  <c r="R40" i="197"/>
  <c r="Q39" i="197"/>
  <c r="Q39" i="199"/>
  <c r="R40" i="199"/>
  <c r="R40" i="203"/>
  <c r="Q39" i="203"/>
  <c r="R40" i="211"/>
  <c r="Q40" i="211"/>
  <c r="Q39" i="211"/>
  <c r="P36" i="203"/>
  <c r="P36" i="201"/>
  <c r="P36" i="202"/>
  <c r="P36" i="200"/>
  <c r="P36" i="199"/>
  <c r="P36" i="197"/>
  <c r="P34" i="203"/>
  <c r="P34" i="201"/>
  <c r="P34" i="202"/>
  <c r="P34" i="200"/>
  <c r="P34" i="199"/>
  <c r="P34" i="197"/>
  <c r="P30" i="203"/>
  <c r="P30" i="201"/>
  <c r="P30" i="202"/>
  <c r="P30" i="200"/>
  <c r="P30" i="199"/>
  <c r="P30" i="197"/>
  <c r="P38" i="176"/>
  <c r="P38" i="175"/>
  <c r="P38" i="174"/>
  <c r="P38" i="178"/>
  <c r="P38" i="177"/>
  <c r="P38" i="173"/>
  <c r="P32" i="177"/>
  <c r="P32" i="176"/>
  <c r="P32" i="175"/>
  <c r="P32" i="174"/>
  <c r="P32" i="178"/>
  <c r="P32" i="173"/>
  <c r="P28" i="178"/>
  <c r="P28" i="173"/>
  <c r="P28" i="177"/>
  <c r="P28" i="176"/>
  <c r="P28" i="175"/>
  <c r="P28" i="174"/>
  <c r="P40" i="153"/>
  <c r="P40" i="152"/>
  <c r="P40" i="52"/>
  <c r="P40" i="155"/>
  <c r="P40" i="154"/>
  <c r="P40" i="130"/>
  <c r="P34" i="153"/>
  <c r="P34" i="152"/>
  <c r="P34" i="52"/>
  <c r="P34" i="155"/>
  <c r="P34" i="154"/>
  <c r="P34" i="130"/>
  <c r="P32" i="153"/>
  <c r="P32" i="152"/>
  <c r="P32" i="52"/>
  <c r="P32" i="155"/>
  <c r="P32" i="154"/>
  <c r="P32" i="130"/>
  <c r="P30" i="153"/>
  <c r="P30" i="152"/>
  <c r="P30" i="52"/>
  <c r="P30" i="155"/>
  <c r="P30" i="154"/>
  <c r="P30" i="130"/>
  <c r="P4" i="205"/>
  <c r="P4" i="206"/>
  <c r="O3" i="206"/>
  <c r="L80" i="49"/>
  <c r="L180" i="49"/>
  <c r="L200" i="49"/>
  <c r="L194" i="49"/>
  <c r="L174" i="49"/>
  <c r="L196" i="49"/>
  <c r="L176" i="49"/>
  <c r="L198" i="49"/>
  <c r="L178" i="49"/>
  <c r="L201" i="49"/>
  <c r="L181" i="49"/>
  <c r="L204" i="49"/>
  <c r="L184" i="49"/>
  <c r="L206" i="49"/>
  <c r="L186" i="49"/>
  <c r="H180" i="49"/>
  <c r="H360" i="49"/>
  <c r="H280" i="49"/>
  <c r="H200" i="49"/>
  <c r="H356" i="49"/>
  <c r="H276" i="49"/>
  <c r="H196" i="49"/>
  <c r="H176" i="49"/>
  <c r="H358" i="49"/>
  <c r="H278" i="49"/>
  <c r="H198" i="49"/>
  <c r="H178" i="49"/>
  <c r="H201" i="49"/>
  <c r="H361" i="49"/>
  <c r="H281" i="49"/>
  <c r="H181" i="49"/>
  <c r="H363" i="49"/>
  <c r="H283" i="49"/>
  <c r="H203" i="49"/>
  <c r="H183" i="49"/>
  <c r="H365" i="49"/>
  <c r="H285" i="49"/>
  <c r="H205" i="49"/>
  <c r="H185" i="49"/>
  <c r="H294" i="49"/>
  <c r="H314" i="49"/>
  <c r="D194" i="49"/>
  <c r="R28" i="151"/>
  <c r="D174" i="49"/>
  <c r="D195" i="49"/>
  <c r="D355" i="49"/>
  <c r="D275" i="49"/>
  <c r="D175" i="49"/>
  <c r="D197" i="49"/>
  <c r="D357" i="49"/>
  <c r="D277" i="49"/>
  <c r="D177" i="49"/>
  <c r="D199" i="49"/>
  <c r="D359" i="49"/>
  <c r="D279" i="49"/>
  <c r="D179" i="49"/>
  <c r="D362" i="49"/>
  <c r="D282" i="49"/>
  <c r="D202" i="49"/>
  <c r="R38" i="151"/>
  <c r="D182" i="49"/>
  <c r="P36" i="208"/>
  <c r="P36" i="207"/>
  <c r="P36" i="206"/>
  <c r="P36" i="205"/>
  <c r="P40" i="208"/>
  <c r="P40" i="207"/>
  <c r="P40" i="206"/>
  <c r="P40" i="205"/>
  <c r="P34" i="208"/>
  <c r="P34" i="207"/>
  <c r="P34" i="206"/>
  <c r="P34" i="205"/>
  <c r="P30" i="208"/>
  <c r="P30" i="207"/>
  <c r="P30" i="206"/>
  <c r="P30" i="205"/>
  <c r="P36" i="184"/>
  <c r="P36" i="182"/>
  <c r="P36" i="183"/>
  <c r="P36" i="181"/>
  <c r="P36" i="179"/>
  <c r="P36" i="180"/>
  <c r="P34" i="184"/>
  <c r="P34" i="182"/>
  <c r="P34" i="183"/>
  <c r="P34" i="181"/>
  <c r="P34" i="179"/>
  <c r="P34" i="180"/>
  <c r="P30" i="184"/>
  <c r="P30" i="182"/>
  <c r="P30" i="183"/>
  <c r="P30" i="181"/>
  <c r="P30" i="179"/>
  <c r="P30" i="180"/>
  <c r="P38" i="184"/>
  <c r="P38" i="182"/>
  <c r="P38" i="183"/>
  <c r="P38" i="181"/>
  <c r="P38" i="179"/>
  <c r="P38" i="180"/>
  <c r="P36" i="159"/>
  <c r="P36" i="158"/>
  <c r="P36" i="157"/>
  <c r="P36" i="156"/>
  <c r="P36" i="151"/>
  <c r="P36" i="150"/>
  <c r="P32" i="159"/>
  <c r="P32" i="158"/>
  <c r="P32" i="157"/>
  <c r="P32" i="156"/>
  <c r="P32" i="151"/>
  <c r="P32" i="150"/>
  <c r="P30" i="159"/>
  <c r="P30" i="158"/>
  <c r="P30" i="157"/>
  <c r="P30" i="156"/>
  <c r="P30" i="151"/>
  <c r="P30" i="150"/>
  <c r="K355" i="49"/>
  <c r="K275" i="49"/>
  <c r="K175" i="49"/>
  <c r="K195" i="49"/>
  <c r="K357" i="49"/>
  <c r="K277" i="49"/>
  <c r="K177" i="49"/>
  <c r="K197" i="49"/>
  <c r="K359" i="49"/>
  <c r="K279" i="49"/>
  <c r="K179" i="49"/>
  <c r="K199" i="49"/>
  <c r="K294" i="49"/>
  <c r="K314" i="49"/>
  <c r="K362" i="49"/>
  <c r="K282" i="49"/>
  <c r="K182" i="49"/>
  <c r="G355" i="49"/>
  <c r="G275" i="49"/>
  <c r="G175" i="49"/>
  <c r="G195" i="49"/>
  <c r="G357" i="49"/>
  <c r="G277" i="49"/>
  <c r="G177" i="49"/>
  <c r="G197" i="49"/>
  <c r="G359" i="49"/>
  <c r="G279" i="49"/>
  <c r="G179" i="49"/>
  <c r="G199" i="49"/>
  <c r="G294" i="49"/>
  <c r="G314" i="49"/>
  <c r="G360" i="49"/>
  <c r="G280" i="49"/>
  <c r="G200" i="49"/>
  <c r="G180" i="49"/>
  <c r="C357" i="49"/>
  <c r="C277" i="49"/>
  <c r="C177" i="49"/>
  <c r="C197" i="49"/>
  <c r="C359" i="49"/>
  <c r="C279" i="49"/>
  <c r="C179" i="49"/>
  <c r="C199" i="49"/>
  <c r="C182" i="49"/>
  <c r="C362" i="49"/>
  <c r="C282" i="49"/>
  <c r="C202" i="49"/>
  <c r="C201" i="49"/>
  <c r="C361" i="49"/>
  <c r="C281" i="49"/>
  <c r="C181" i="49"/>
  <c r="C364" i="49"/>
  <c r="C284" i="49"/>
  <c r="C204" i="49"/>
  <c r="C184" i="49"/>
  <c r="C366" i="49"/>
  <c r="C286" i="49"/>
  <c r="C206" i="49"/>
  <c r="C186" i="49"/>
  <c r="P34" i="209"/>
  <c r="P34" i="211"/>
  <c r="P34" i="210"/>
  <c r="P34" i="204"/>
  <c r="P32" i="209"/>
  <c r="P32" i="211"/>
  <c r="P32" i="210"/>
  <c r="P32" i="204"/>
  <c r="P28" i="211"/>
  <c r="P28" i="210"/>
  <c r="P28" i="209"/>
  <c r="P28" i="204"/>
  <c r="P36" i="190"/>
  <c r="P36" i="188"/>
  <c r="P36" i="186"/>
  <c r="P36" i="189"/>
  <c r="P36" i="187"/>
  <c r="P36" i="185"/>
  <c r="P34" i="190"/>
  <c r="P34" i="188"/>
  <c r="P34" i="186"/>
  <c r="P34" i="189"/>
  <c r="P34" i="187"/>
  <c r="P34" i="185"/>
  <c r="P30" i="190"/>
  <c r="P30" i="188"/>
  <c r="P30" i="186"/>
  <c r="P30" i="189"/>
  <c r="P30" i="187"/>
  <c r="P30" i="185"/>
  <c r="P36" i="166"/>
  <c r="P36" i="164"/>
  <c r="P36" i="161"/>
  <c r="P36" i="160"/>
  <c r="P36" i="163"/>
  <c r="P36" i="162"/>
  <c r="P32" i="166"/>
  <c r="P32" i="164"/>
  <c r="P32" i="161"/>
  <c r="P32" i="160"/>
  <c r="P32" i="163"/>
  <c r="P32" i="162"/>
  <c r="P28" i="164"/>
  <c r="P28" i="163"/>
  <c r="P28" i="166"/>
  <c r="P28" i="162"/>
  <c r="P28" i="161"/>
  <c r="P28" i="160"/>
  <c r="P5" i="213"/>
  <c r="P5" i="212"/>
  <c r="N202" i="49"/>
  <c r="N182" i="49"/>
  <c r="N204" i="49"/>
  <c r="N184" i="49"/>
  <c r="N206" i="49"/>
  <c r="N186" i="49"/>
  <c r="N195" i="49"/>
  <c r="N175" i="49"/>
  <c r="N197" i="49"/>
  <c r="N177" i="49"/>
  <c r="N199" i="49"/>
  <c r="N179" i="49"/>
  <c r="J182" i="49"/>
  <c r="J362" i="49"/>
  <c r="J282" i="49"/>
  <c r="J202" i="49"/>
  <c r="J364" i="49"/>
  <c r="J284" i="49"/>
  <c r="J204" i="49"/>
  <c r="J184" i="49"/>
  <c r="J366" i="49"/>
  <c r="J286" i="49"/>
  <c r="J206" i="49"/>
  <c r="J186" i="49"/>
  <c r="J195" i="49"/>
  <c r="J355" i="49"/>
  <c r="J275" i="49"/>
  <c r="J175" i="49"/>
  <c r="J197" i="49"/>
  <c r="J357" i="49"/>
  <c r="J277" i="49"/>
  <c r="J177" i="49"/>
  <c r="J199" i="49"/>
  <c r="J359" i="49"/>
  <c r="J279" i="49"/>
  <c r="J179" i="49"/>
  <c r="J294" i="49"/>
  <c r="J314" i="49"/>
  <c r="F194" i="49"/>
  <c r="F174" i="49"/>
  <c r="F182" i="49"/>
  <c r="F362" i="49"/>
  <c r="F282" i="49"/>
  <c r="F202" i="49"/>
  <c r="F364" i="49"/>
  <c r="F284" i="49"/>
  <c r="F204" i="49"/>
  <c r="F184" i="49"/>
  <c r="F366" i="49"/>
  <c r="F286" i="49"/>
  <c r="F206" i="49"/>
  <c r="F186" i="49"/>
  <c r="F356" i="49"/>
  <c r="F276" i="49"/>
  <c r="F196" i="49"/>
  <c r="F176" i="49"/>
  <c r="F358" i="49"/>
  <c r="F278" i="49"/>
  <c r="F198" i="49"/>
  <c r="F178" i="49"/>
  <c r="F201" i="49"/>
  <c r="F361" i="49"/>
  <c r="F281" i="49"/>
  <c r="F181" i="49"/>
  <c r="P40" i="213"/>
  <c r="O40" i="213"/>
  <c r="P40" i="212"/>
  <c r="P34" i="213"/>
  <c r="O34" i="213"/>
  <c r="P34" i="212"/>
  <c r="P32" i="213"/>
  <c r="O32" i="213"/>
  <c r="P32" i="212"/>
  <c r="P30" i="213"/>
  <c r="O30" i="213"/>
  <c r="P30" i="212"/>
  <c r="P28" i="213"/>
  <c r="O28" i="213"/>
  <c r="Q28" i="213"/>
  <c r="P28" i="212"/>
  <c r="P32" i="196"/>
  <c r="P32" i="195"/>
  <c r="P32" i="193"/>
  <c r="P32" i="194"/>
  <c r="P32" i="192"/>
  <c r="P32" i="191"/>
  <c r="P28" i="196"/>
  <c r="P28" i="195"/>
  <c r="P28" i="193"/>
  <c r="P28" i="192"/>
  <c r="P28" i="191"/>
  <c r="P28" i="194"/>
  <c r="P32" i="172"/>
  <c r="P32" i="171"/>
  <c r="P32" i="170"/>
  <c r="P32" i="169"/>
  <c r="P32" i="168"/>
  <c r="P32" i="167"/>
  <c r="P36" i="172"/>
  <c r="P36" i="171"/>
  <c r="P36" i="170"/>
  <c r="P36" i="169"/>
  <c r="P36" i="168"/>
  <c r="P36" i="167"/>
  <c r="M174" i="49"/>
  <c r="M194" i="49"/>
  <c r="M176" i="49"/>
  <c r="M196" i="49"/>
  <c r="M178" i="49"/>
  <c r="M198" i="49"/>
  <c r="M181" i="49"/>
  <c r="M201" i="49"/>
  <c r="P4" i="209"/>
  <c r="O3" i="209"/>
  <c r="P4" i="204"/>
  <c r="M80" i="49"/>
  <c r="M200" i="49"/>
  <c r="M180" i="49"/>
  <c r="I176" i="49"/>
  <c r="I356" i="49"/>
  <c r="I276" i="49"/>
  <c r="I196" i="49"/>
  <c r="I178" i="49"/>
  <c r="I358" i="49"/>
  <c r="I278" i="49"/>
  <c r="I198" i="49"/>
  <c r="I361" i="49"/>
  <c r="I281" i="49"/>
  <c r="I181" i="49"/>
  <c r="I201" i="49"/>
  <c r="I360" i="49"/>
  <c r="I280" i="49"/>
  <c r="I200" i="49"/>
  <c r="I180" i="49"/>
  <c r="E355" i="49"/>
  <c r="E275" i="49"/>
  <c r="E175" i="49"/>
  <c r="E195" i="49"/>
  <c r="E357" i="49"/>
  <c r="E277" i="49"/>
  <c r="E177" i="49"/>
  <c r="E197" i="49"/>
  <c r="E359" i="49"/>
  <c r="E279" i="49"/>
  <c r="E179" i="49"/>
  <c r="E199" i="49"/>
  <c r="E174" i="49"/>
  <c r="E194" i="49"/>
  <c r="P38" i="203"/>
  <c r="P38" i="201"/>
  <c r="P38" i="202"/>
  <c r="P38" i="200"/>
  <c r="P38" i="199"/>
  <c r="P38" i="197"/>
  <c r="P32" i="203"/>
  <c r="P32" i="201"/>
  <c r="P32" i="202"/>
  <c r="P32" i="200"/>
  <c r="P32" i="199"/>
  <c r="P32" i="197"/>
  <c r="P28" i="203"/>
  <c r="P28" i="199"/>
  <c r="P28" i="202"/>
  <c r="P28" i="201"/>
  <c r="P28" i="200"/>
  <c r="P28" i="197"/>
  <c r="P36" i="177"/>
  <c r="P36" i="176"/>
  <c r="P36" i="175"/>
  <c r="P36" i="174"/>
  <c r="P36" i="178"/>
  <c r="P36" i="173"/>
  <c r="P34" i="176"/>
  <c r="P34" i="175"/>
  <c r="P34" i="174"/>
  <c r="P34" i="178"/>
  <c r="P34" i="177"/>
  <c r="P34" i="173"/>
  <c r="P30" i="176"/>
  <c r="P30" i="175"/>
  <c r="P30" i="174"/>
  <c r="P30" i="178"/>
  <c r="P30" i="177"/>
  <c r="P30" i="173"/>
  <c r="P36" i="153"/>
  <c r="P36" i="152"/>
  <c r="P36" i="52"/>
  <c r="P36" i="155"/>
  <c r="P36" i="154"/>
  <c r="P36" i="130"/>
  <c r="P38" i="153"/>
  <c r="P38" i="152"/>
  <c r="P38" i="52"/>
  <c r="P38" i="155"/>
  <c r="P38" i="154"/>
  <c r="P38" i="130"/>
  <c r="P28" i="155"/>
  <c r="P28" i="154"/>
  <c r="P28" i="152"/>
  <c r="P28" i="130"/>
  <c r="P28" i="153"/>
  <c r="P28" i="52"/>
  <c r="P5" i="206"/>
  <c r="P5" i="205"/>
  <c r="L82" i="49"/>
  <c r="L202" i="49"/>
  <c r="L182" i="49"/>
  <c r="L195" i="49"/>
  <c r="L175" i="49"/>
  <c r="L197" i="49"/>
  <c r="L177" i="49"/>
  <c r="L199" i="49"/>
  <c r="L179" i="49"/>
  <c r="L203" i="49"/>
  <c r="L183" i="49"/>
  <c r="L205" i="49"/>
  <c r="L185" i="49"/>
  <c r="L294" i="49"/>
  <c r="L314" i="49"/>
  <c r="H194" i="49"/>
  <c r="H174" i="49"/>
  <c r="H195" i="49"/>
  <c r="H355" i="49"/>
  <c r="H275" i="49"/>
  <c r="H175" i="49"/>
  <c r="H197" i="49"/>
  <c r="H357" i="49"/>
  <c r="H277" i="49"/>
  <c r="H177" i="49"/>
  <c r="H199" i="49"/>
  <c r="H359" i="49"/>
  <c r="H279" i="49"/>
  <c r="H179" i="49"/>
  <c r="H362" i="49"/>
  <c r="H282" i="49"/>
  <c r="H202" i="49"/>
  <c r="H182" i="49"/>
  <c r="H364" i="49"/>
  <c r="H284" i="49"/>
  <c r="H204" i="49"/>
  <c r="H184" i="49"/>
  <c r="H366" i="49"/>
  <c r="H286" i="49"/>
  <c r="H206" i="49"/>
  <c r="H186" i="49"/>
  <c r="D361" i="49"/>
  <c r="D281" i="49"/>
  <c r="D181" i="49"/>
  <c r="D201" i="49"/>
  <c r="D356" i="49"/>
  <c r="D276" i="49"/>
  <c r="D196" i="49"/>
  <c r="R32" i="151"/>
  <c r="Q32" i="151"/>
  <c r="D176" i="49"/>
  <c r="D358" i="49"/>
  <c r="D278" i="49"/>
  <c r="D198" i="49"/>
  <c r="D178" i="49"/>
  <c r="D360" i="49"/>
  <c r="D280" i="49"/>
  <c r="D200" i="49"/>
  <c r="R36" i="151"/>
  <c r="Q36" i="151"/>
  <c r="D180" i="49"/>
  <c r="C274" i="49"/>
  <c r="D294" i="49"/>
  <c r="D314" i="49"/>
  <c r="P28" i="205"/>
  <c r="P28" i="208"/>
  <c r="P28" i="207"/>
  <c r="P28" i="206"/>
  <c r="P38" i="208"/>
  <c r="P38" i="207"/>
  <c r="P38" i="206"/>
  <c r="P38" i="205"/>
  <c r="P32" i="208"/>
  <c r="P32" i="207"/>
  <c r="P32" i="206"/>
  <c r="P32" i="205"/>
  <c r="P28" i="184"/>
  <c r="P28" i="183"/>
  <c r="P28" i="182"/>
  <c r="P28" i="180"/>
  <c r="P28" i="181"/>
  <c r="P28" i="179"/>
  <c r="P32" i="184"/>
  <c r="P32" i="182"/>
  <c r="P32" i="183"/>
  <c r="P32" i="181"/>
  <c r="P32" i="179"/>
  <c r="P32" i="180"/>
  <c r="P40" i="184"/>
  <c r="P40" i="182"/>
  <c r="P40" i="183"/>
  <c r="P40" i="181"/>
  <c r="P40" i="179"/>
  <c r="P40" i="180"/>
  <c r="P34" i="159"/>
  <c r="P34" i="158"/>
  <c r="P34" i="157"/>
  <c r="P34" i="156"/>
  <c r="P34" i="151"/>
  <c r="P34" i="150"/>
  <c r="P28" i="159"/>
  <c r="P28" i="158"/>
  <c r="P28" i="157"/>
  <c r="P28" i="156"/>
  <c r="P28" i="151"/>
  <c r="P28" i="150"/>
  <c r="P38" i="159"/>
  <c r="P38" i="158"/>
  <c r="P38" i="157"/>
  <c r="P38" i="156"/>
  <c r="P38" i="151"/>
  <c r="P38" i="150"/>
  <c r="K174" i="49"/>
  <c r="K194" i="49"/>
  <c r="K176" i="49"/>
  <c r="K356" i="49"/>
  <c r="K276" i="49"/>
  <c r="K196" i="49"/>
  <c r="K178" i="49"/>
  <c r="K358" i="49"/>
  <c r="K278" i="49"/>
  <c r="K198" i="49"/>
  <c r="K361" i="49"/>
  <c r="K281" i="49"/>
  <c r="K181" i="49"/>
  <c r="K201" i="49"/>
  <c r="K360" i="49"/>
  <c r="K280" i="49"/>
  <c r="K200" i="49"/>
  <c r="K180" i="49"/>
  <c r="G176" i="49"/>
  <c r="G356" i="49"/>
  <c r="G276" i="49"/>
  <c r="G196" i="49"/>
  <c r="G178" i="49"/>
  <c r="G358" i="49"/>
  <c r="G278" i="49"/>
  <c r="G198" i="49"/>
  <c r="G361" i="49"/>
  <c r="G281" i="49"/>
  <c r="G181" i="49"/>
  <c r="G201" i="49"/>
  <c r="G174" i="49"/>
  <c r="G194" i="49"/>
  <c r="C176" i="49"/>
  <c r="C356" i="49"/>
  <c r="C276" i="49"/>
  <c r="C196" i="49"/>
  <c r="C178" i="49"/>
  <c r="C358" i="49"/>
  <c r="C278" i="49"/>
  <c r="C198" i="49"/>
  <c r="C180" i="49"/>
  <c r="C360" i="49"/>
  <c r="C280" i="49"/>
  <c r="C200" i="49"/>
  <c r="C174" i="49"/>
  <c r="C194" i="49"/>
  <c r="C363" i="49"/>
  <c r="C283" i="49"/>
  <c r="C203" i="49"/>
  <c r="C183" i="49"/>
  <c r="C365" i="49"/>
  <c r="C285" i="49"/>
  <c r="C205" i="49"/>
  <c r="C185" i="49"/>
  <c r="P38" i="209"/>
  <c r="P38" i="211"/>
  <c r="P38" i="210"/>
  <c r="P38" i="204"/>
  <c r="P30" i="209"/>
  <c r="P30" i="211"/>
  <c r="P30" i="210"/>
  <c r="P30" i="204"/>
  <c r="P36" i="209"/>
  <c r="P36" i="211"/>
  <c r="P36" i="210"/>
  <c r="P36" i="204"/>
  <c r="P38" i="190"/>
  <c r="P38" i="188"/>
  <c r="P38" i="186"/>
  <c r="P38" i="189"/>
  <c r="P38" i="187"/>
  <c r="P38" i="185"/>
  <c r="P32" i="190"/>
  <c r="P32" i="188"/>
  <c r="P32" i="186"/>
  <c r="P32" i="189"/>
  <c r="P32" i="187"/>
  <c r="P32" i="185"/>
  <c r="P28" i="190"/>
  <c r="P28" i="188"/>
  <c r="P28" i="187"/>
  <c r="P28" i="186"/>
  <c r="P28" i="185"/>
  <c r="P28" i="189"/>
  <c r="P38" i="166"/>
  <c r="P38" i="164"/>
  <c r="P38" i="161"/>
  <c r="P38" i="160"/>
  <c r="P38" i="163"/>
  <c r="P38" i="162"/>
  <c r="P34" i="166"/>
  <c r="P34" i="164"/>
  <c r="P34" i="161"/>
  <c r="P34" i="160"/>
  <c r="P34" i="163"/>
  <c r="P34" i="162"/>
  <c r="P30" i="166"/>
  <c r="P30" i="164"/>
  <c r="P30" i="161"/>
  <c r="P30" i="160"/>
  <c r="P30" i="163"/>
  <c r="P30" i="162"/>
  <c r="P4" i="213"/>
  <c r="O3" i="213"/>
  <c r="P2" i="213"/>
  <c r="P4" i="212"/>
  <c r="N180" i="49"/>
  <c r="N200" i="49"/>
  <c r="N203" i="49"/>
  <c r="N183" i="49"/>
  <c r="N205" i="49"/>
  <c r="N185" i="49"/>
  <c r="N194" i="49"/>
  <c r="N174" i="49"/>
  <c r="N196" i="49"/>
  <c r="N176" i="49"/>
  <c r="N198" i="49"/>
  <c r="N178" i="49"/>
  <c r="N201" i="49"/>
  <c r="N181" i="49"/>
  <c r="J180" i="49"/>
  <c r="J360" i="49"/>
  <c r="J280" i="49"/>
  <c r="J200" i="49"/>
  <c r="J363" i="49"/>
  <c r="J283" i="49"/>
  <c r="J203" i="49"/>
  <c r="J183" i="49"/>
  <c r="J365" i="49"/>
  <c r="J285" i="49"/>
  <c r="J205" i="49"/>
  <c r="J185" i="49"/>
  <c r="I154" i="49"/>
  <c r="J194" i="49"/>
  <c r="J174" i="49"/>
  <c r="J356" i="49"/>
  <c r="J276" i="49"/>
  <c r="J196" i="49"/>
  <c r="J176" i="49"/>
  <c r="J358" i="49"/>
  <c r="J278" i="49"/>
  <c r="J198" i="49"/>
  <c r="J178" i="49"/>
  <c r="J201" i="49"/>
  <c r="J361" i="49"/>
  <c r="J281" i="49"/>
  <c r="J181" i="49"/>
  <c r="F180" i="49"/>
  <c r="F360" i="49"/>
  <c r="F280" i="49"/>
  <c r="F200" i="49"/>
  <c r="F363" i="49"/>
  <c r="F283" i="49"/>
  <c r="F203" i="49"/>
  <c r="F183" i="49"/>
  <c r="F365" i="49"/>
  <c r="F285" i="49"/>
  <c r="F205" i="49"/>
  <c r="F185" i="49"/>
  <c r="F195" i="49"/>
  <c r="F355" i="49"/>
  <c r="F275" i="49"/>
  <c r="F175" i="49"/>
  <c r="F197" i="49"/>
  <c r="F357" i="49"/>
  <c r="F277" i="49"/>
  <c r="F177" i="49"/>
  <c r="F199" i="49"/>
  <c r="F359" i="49"/>
  <c r="F279" i="49"/>
  <c r="F179" i="49"/>
  <c r="F294" i="49"/>
  <c r="F314" i="49"/>
  <c r="P38" i="213"/>
  <c r="O38" i="213"/>
  <c r="P38" i="212"/>
  <c r="P36" i="213"/>
  <c r="O36" i="213"/>
  <c r="P36" i="212"/>
  <c r="P34" i="196"/>
  <c r="P34" i="195"/>
  <c r="P34" i="193"/>
  <c r="P34" i="194"/>
  <c r="P34" i="192"/>
  <c r="P34" i="191"/>
  <c r="P30" i="196"/>
  <c r="P30" i="195"/>
  <c r="P30" i="193"/>
  <c r="P30" i="194"/>
  <c r="P30" i="192"/>
  <c r="P30" i="191"/>
  <c r="P40" i="196"/>
  <c r="P40" i="195"/>
  <c r="P40" i="193"/>
  <c r="P40" i="194"/>
  <c r="P40" i="192"/>
  <c r="P40" i="191"/>
  <c r="P38" i="196"/>
  <c r="P38" i="195"/>
  <c r="P38" i="193"/>
  <c r="P38" i="194"/>
  <c r="P38" i="192"/>
  <c r="P38" i="191"/>
  <c r="P36" i="196"/>
  <c r="P36" i="195"/>
  <c r="P36" i="193"/>
  <c r="P36" i="194"/>
  <c r="P36" i="192"/>
  <c r="P36" i="191"/>
  <c r="P40" i="172"/>
  <c r="P40" i="171"/>
  <c r="P40" i="170"/>
  <c r="P40" i="169"/>
  <c r="P40" i="168"/>
  <c r="P40" i="167"/>
  <c r="P38" i="172"/>
  <c r="P38" i="171"/>
  <c r="P38" i="170"/>
  <c r="P38" i="169"/>
  <c r="P38" i="168"/>
  <c r="P38" i="167"/>
  <c r="P34" i="172"/>
  <c r="P34" i="171"/>
  <c r="P34" i="170"/>
  <c r="P34" i="169"/>
  <c r="P34" i="168"/>
  <c r="P34" i="167"/>
  <c r="P30" i="172"/>
  <c r="P30" i="171"/>
  <c r="P30" i="170"/>
  <c r="P30" i="169"/>
  <c r="P30" i="168"/>
  <c r="P30" i="167"/>
  <c r="P28" i="172"/>
  <c r="P28" i="171"/>
  <c r="P28" i="170"/>
  <c r="P28" i="169"/>
  <c r="P28" i="168"/>
  <c r="P28" i="167"/>
  <c r="M175" i="49"/>
  <c r="M195" i="49"/>
  <c r="M177" i="49"/>
  <c r="M197" i="49"/>
  <c r="M179" i="49"/>
  <c r="M199" i="49"/>
  <c r="M294" i="49"/>
  <c r="M314" i="49"/>
  <c r="P5" i="204"/>
  <c r="P5" i="209"/>
  <c r="M82" i="49"/>
  <c r="M202" i="49"/>
  <c r="M182" i="49"/>
  <c r="I355" i="49"/>
  <c r="I275" i="49"/>
  <c r="I175" i="49"/>
  <c r="I195" i="49"/>
  <c r="I357" i="49"/>
  <c r="I277" i="49"/>
  <c r="I177" i="49"/>
  <c r="I197" i="49"/>
  <c r="I359" i="49"/>
  <c r="I279" i="49"/>
  <c r="I179" i="49"/>
  <c r="I199" i="49"/>
  <c r="I294" i="49"/>
  <c r="I314" i="49"/>
  <c r="E176" i="49"/>
  <c r="E356" i="49"/>
  <c r="E276" i="49"/>
  <c r="E196" i="49"/>
  <c r="E178" i="49"/>
  <c r="E358" i="49"/>
  <c r="E278" i="49"/>
  <c r="E198" i="49"/>
  <c r="E294" i="49"/>
  <c r="E314" i="49"/>
  <c r="R38" i="150"/>
  <c r="Q38" i="150"/>
  <c r="R28" i="162"/>
  <c r="R28" i="163"/>
  <c r="E378" i="49"/>
  <c r="E398" i="49"/>
  <c r="Q35" i="186"/>
  <c r="Q35" i="185"/>
  <c r="Q33" i="185"/>
  <c r="Q33" i="186"/>
  <c r="I377" i="49"/>
  <c r="I397" i="49"/>
  <c r="I375" i="49"/>
  <c r="I395" i="49"/>
  <c r="R38" i="204"/>
  <c r="R38" i="209"/>
  <c r="Q38" i="209"/>
  <c r="R28" i="211"/>
  <c r="R28" i="210"/>
  <c r="R30" i="204"/>
  <c r="R30" i="209"/>
  <c r="Q30" i="209"/>
  <c r="R28" i="170"/>
  <c r="R28" i="169"/>
  <c r="F379" i="49"/>
  <c r="F399" i="49"/>
  <c r="F377" i="49"/>
  <c r="F397" i="49"/>
  <c r="F375" i="49"/>
  <c r="F395" i="49"/>
  <c r="F305" i="49"/>
  <c r="F325" i="49"/>
  <c r="Q35" i="191"/>
  <c r="Q35" i="192"/>
  <c r="J381" i="49"/>
  <c r="J401" i="49"/>
  <c r="J298" i="49"/>
  <c r="J318" i="49"/>
  <c r="J296" i="49"/>
  <c r="J316" i="49"/>
  <c r="E298" i="49"/>
  <c r="E318" i="49"/>
  <c r="Q35" i="160"/>
  <c r="Q35" i="161"/>
  <c r="E296" i="49"/>
  <c r="E316" i="49"/>
  <c r="Q31" i="160"/>
  <c r="Q31" i="161"/>
  <c r="R28" i="188"/>
  <c r="R28" i="187"/>
  <c r="R36" i="186"/>
  <c r="R36" i="185"/>
  <c r="Q36" i="185"/>
  <c r="I299" i="49"/>
  <c r="I319" i="49"/>
  <c r="R34" i="185"/>
  <c r="R34" i="186"/>
  <c r="Q34" i="186"/>
  <c r="I297" i="49"/>
  <c r="I317" i="49"/>
  <c r="R30" i="185"/>
  <c r="R30" i="186"/>
  <c r="Q30" i="186"/>
  <c r="I295" i="49"/>
  <c r="I315" i="49"/>
  <c r="Q37" i="204"/>
  <c r="Q37" i="209"/>
  <c r="P5" i="211"/>
  <c r="P5" i="210"/>
  <c r="Q29" i="204"/>
  <c r="Q29" i="209"/>
  <c r="F299" i="49"/>
  <c r="F319" i="49"/>
  <c r="R34" i="167"/>
  <c r="R34" i="168"/>
  <c r="F297" i="49"/>
  <c r="F317" i="49"/>
  <c r="R32" i="167"/>
  <c r="Q32" i="167"/>
  <c r="R32" i="168"/>
  <c r="Q32" i="168"/>
  <c r="F295" i="49"/>
  <c r="F315" i="49"/>
  <c r="R30" i="167"/>
  <c r="R30" i="168"/>
  <c r="F385" i="49"/>
  <c r="F405" i="49"/>
  <c r="F383" i="49"/>
  <c r="F403" i="49"/>
  <c r="F300" i="49"/>
  <c r="F320" i="49"/>
  <c r="J301" i="49"/>
  <c r="J321" i="49"/>
  <c r="R36" i="191"/>
  <c r="Q36" i="191"/>
  <c r="R36" i="192"/>
  <c r="Q36" i="192"/>
  <c r="J378" i="49"/>
  <c r="J398" i="49"/>
  <c r="J376" i="49"/>
  <c r="J396" i="49"/>
  <c r="R28" i="192"/>
  <c r="R28" i="191"/>
  <c r="J305" i="49"/>
  <c r="J325" i="49"/>
  <c r="J303" i="49"/>
  <c r="J323" i="49"/>
  <c r="J380" i="49"/>
  <c r="J400" i="49"/>
  <c r="Q35" i="212"/>
  <c r="Q35" i="213"/>
  <c r="L284" i="49"/>
  <c r="C305" i="49"/>
  <c r="C325" i="49"/>
  <c r="M282" i="49"/>
  <c r="C303" i="49"/>
  <c r="C323" i="49"/>
  <c r="R28" i="52"/>
  <c r="R28" i="130"/>
  <c r="C380" i="49"/>
  <c r="C400" i="49"/>
  <c r="C378" i="49"/>
  <c r="C398" i="49"/>
  <c r="C376" i="49"/>
  <c r="C396" i="49"/>
  <c r="Q37" i="173"/>
  <c r="Q37" i="174"/>
  <c r="G381" i="49"/>
  <c r="G401" i="49"/>
  <c r="G298" i="49"/>
  <c r="G318" i="49"/>
  <c r="G296" i="49"/>
  <c r="G316" i="49"/>
  <c r="Q31" i="174"/>
  <c r="Q31" i="173"/>
  <c r="K380" i="49"/>
  <c r="K400" i="49"/>
  <c r="Q37" i="197"/>
  <c r="Q37" i="199"/>
  <c r="K381" i="49"/>
  <c r="K401" i="49"/>
  <c r="K298" i="49"/>
  <c r="K318" i="49"/>
  <c r="K296" i="49"/>
  <c r="K316" i="49"/>
  <c r="Q31" i="197"/>
  <c r="Q31" i="199"/>
  <c r="Q35" i="151"/>
  <c r="Q35" i="150"/>
  <c r="D300" i="49"/>
  <c r="D320" i="49"/>
  <c r="Q33" i="151"/>
  <c r="Q33" i="150"/>
  <c r="R32" i="150"/>
  <c r="D298" i="49"/>
  <c r="D318" i="49"/>
  <c r="Q31" i="151"/>
  <c r="Q31" i="150"/>
  <c r="D296" i="49"/>
  <c r="D316" i="49"/>
  <c r="D301" i="49"/>
  <c r="D321" i="49"/>
  <c r="Q39" i="180"/>
  <c r="Q39" i="179"/>
  <c r="H306" i="49"/>
  <c r="H326" i="49"/>
  <c r="Q37" i="180"/>
  <c r="Q37" i="179"/>
  <c r="H304" i="49"/>
  <c r="H324" i="49"/>
  <c r="H302" i="49"/>
  <c r="H322" i="49"/>
  <c r="Q33" i="180"/>
  <c r="Q33" i="179"/>
  <c r="H379" i="49"/>
  <c r="H399" i="49"/>
  <c r="Q31" i="180"/>
  <c r="Q31" i="179"/>
  <c r="H377" i="49"/>
  <c r="H397" i="49"/>
  <c r="Q29" i="180"/>
  <c r="Q29" i="179"/>
  <c r="H375" i="49"/>
  <c r="H395" i="49"/>
  <c r="R28" i="208"/>
  <c r="R28" i="207"/>
  <c r="Q33" i="205"/>
  <c r="Q33" i="206"/>
  <c r="Q31" i="205"/>
  <c r="Q31" i="206"/>
  <c r="Q29" i="205"/>
  <c r="Q29" i="206"/>
  <c r="P5" i="208"/>
  <c r="P5" i="207"/>
  <c r="Q37" i="160"/>
  <c r="Q37" i="161"/>
  <c r="E379" i="49"/>
  <c r="E399" i="49"/>
  <c r="Q33" i="160"/>
  <c r="Q33" i="161"/>
  <c r="E377" i="49"/>
  <c r="E397" i="49"/>
  <c r="Q29" i="160"/>
  <c r="Q29" i="161"/>
  <c r="E375" i="49"/>
  <c r="E395" i="49"/>
  <c r="I380" i="49"/>
  <c r="I400" i="49"/>
  <c r="Q37" i="185"/>
  <c r="Q37" i="186"/>
  <c r="I381" i="49"/>
  <c r="I401" i="49"/>
  <c r="I298" i="49"/>
  <c r="I318" i="49"/>
  <c r="I296" i="49"/>
  <c r="I316" i="49"/>
  <c r="Q31" i="186"/>
  <c r="Q31" i="185"/>
  <c r="R36" i="204"/>
  <c r="Q36" i="204"/>
  <c r="R36" i="209"/>
  <c r="R34" i="204"/>
  <c r="R34" i="209"/>
  <c r="Q34" i="209"/>
  <c r="R32" i="204"/>
  <c r="Q32" i="204"/>
  <c r="R32" i="209"/>
  <c r="R28" i="209"/>
  <c r="R28" i="204"/>
  <c r="Q35" i="167"/>
  <c r="Q35" i="168"/>
  <c r="F381" i="49"/>
  <c r="F401" i="49"/>
  <c r="F298" i="49"/>
  <c r="F318" i="49"/>
  <c r="F296" i="49"/>
  <c r="F316" i="49"/>
  <c r="Q39" i="167"/>
  <c r="Q39" i="168"/>
  <c r="F306" i="49"/>
  <c r="F326" i="49"/>
  <c r="Q37" i="167"/>
  <c r="Q37" i="168"/>
  <c r="F304" i="49"/>
  <c r="F324" i="49"/>
  <c r="F382" i="49"/>
  <c r="F402" i="49"/>
  <c r="R28" i="194"/>
  <c r="R28" i="193"/>
  <c r="Q33" i="191"/>
  <c r="Q33" i="192"/>
  <c r="J379" i="49"/>
  <c r="J399" i="49"/>
  <c r="Q31" i="191"/>
  <c r="Q31" i="192"/>
  <c r="J377" i="49"/>
  <c r="J397" i="49"/>
  <c r="Q29" i="191"/>
  <c r="Q29" i="192"/>
  <c r="J375" i="49"/>
  <c r="J395" i="49"/>
  <c r="Q39" i="191"/>
  <c r="Q39" i="192"/>
  <c r="J306" i="49"/>
  <c r="J326" i="49"/>
  <c r="Q37" i="191"/>
  <c r="Q37" i="192"/>
  <c r="J304" i="49"/>
  <c r="J324" i="49"/>
  <c r="J382" i="49"/>
  <c r="J402" i="49"/>
  <c r="Q33" i="212"/>
  <c r="Q33" i="213"/>
  <c r="Q31" i="212"/>
  <c r="Q31" i="213"/>
  <c r="Q29" i="213"/>
  <c r="Q29" i="212"/>
  <c r="Q39" i="212"/>
  <c r="Q39" i="213"/>
  <c r="Q37" i="213"/>
  <c r="Q37" i="212"/>
  <c r="R40" i="52"/>
  <c r="Q40" i="52"/>
  <c r="R40" i="130"/>
  <c r="Q40" i="130"/>
  <c r="C386" i="49"/>
  <c r="C406" i="49"/>
  <c r="R38" i="130"/>
  <c r="R38" i="52"/>
  <c r="C384" i="49"/>
  <c r="C404" i="49"/>
  <c r="M280" i="49"/>
  <c r="C301" i="49"/>
  <c r="C321" i="49"/>
  <c r="R36" i="52"/>
  <c r="Q36" i="52"/>
  <c r="R36" i="130"/>
  <c r="Q36" i="130"/>
  <c r="M281" i="49"/>
  <c r="C302" i="49"/>
  <c r="C322" i="49"/>
  <c r="Q33" i="130"/>
  <c r="Q33" i="52"/>
  <c r="C379" i="49"/>
  <c r="C399" i="49"/>
  <c r="Q31" i="52"/>
  <c r="Q31" i="130"/>
  <c r="C377" i="49"/>
  <c r="C397" i="49"/>
  <c r="G380" i="49"/>
  <c r="G400" i="49"/>
  <c r="Q35" i="174"/>
  <c r="Q35" i="173"/>
  <c r="G379" i="49"/>
  <c r="G399" i="49"/>
  <c r="Q33" i="173"/>
  <c r="Q33" i="174"/>
  <c r="G377" i="49"/>
  <c r="G397" i="49"/>
  <c r="Q29" i="173"/>
  <c r="Q29" i="174"/>
  <c r="G375" i="49"/>
  <c r="G395" i="49"/>
  <c r="R28" i="201"/>
  <c r="R28" i="200"/>
  <c r="R36" i="197"/>
  <c r="R36" i="199"/>
  <c r="Q36" i="199"/>
  <c r="K299" i="49"/>
  <c r="K319" i="49"/>
  <c r="R34" i="197"/>
  <c r="Q34" i="197"/>
  <c r="R34" i="199"/>
  <c r="K297" i="49"/>
  <c r="K317" i="49"/>
  <c r="R30" i="197"/>
  <c r="Q30" i="197"/>
  <c r="R30" i="199"/>
  <c r="K295" i="49"/>
  <c r="K315" i="49"/>
  <c r="D382" i="49"/>
  <c r="D402" i="49"/>
  <c r="D299" i="49"/>
  <c r="D319" i="49"/>
  <c r="D297" i="49"/>
  <c r="D317" i="49"/>
  <c r="D295" i="49"/>
  <c r="D315" i="49"/>
  <c r="R30" i="150"/>
  <c r="Q30" i="150"/>
  <c r="R30" i="151"/>
  <c r="H385" i="49"/>
  <c r="H405" i="49"/>
  <c r="H383" i="49"/>
  <c r="H403" i="49"/>
  <c r="H301" i="49"/>
  <c r="H321" i="49"/>
  <c r="R36" i="180"/>
  <c r="Q36" i="180"/>
  <c r="R36" i="179"/>
  <c r="Q36" i="179"/>
  <c r="H378" i="49"/>
  <c r="H398" i="49"/>
  <c r="H376" i="49"/>
  <c r="H396" i="49"/>
  <c r="H300" i="49"/>
  <c r="H320" i="49"/>
  <c r="Q39" i="205"/>
  <c r="Q39" i="206"/>
  <c r="Q37" i="205"/>
  <c r="Q37" i="206"/>
  <c r="Q35" i="205"/>
  <c r="Q35" i="206"/>
  <c r="P4" i="208"/>
  <c r="O3" i="208"/>
  <c r="P4" i="207"/>
  <c r="R36" i="160"/>
  <c r="Q36" i="160"/>
  <c r="R36" i="161"/>
  <c r="Q36" i="161"/>
  <c r="R32" i="160"/>
  <c r="Q32" i="160"/>
  <c r="R32" i="161"/>
  <c r="Q32" i="161"/>
  <c r="E376" i="49"/>
  <c r="E396" i="49"/>
  <c r="I379" i="49"/>
  <c r="I399" i="49"/>
  <c r="Q29" i="185"/>
  <c r="Q29" i="186"/>
  <c r="Q33" i="167"/>
  <c r="Q33" i="168"/>
  <c r="Q31" i="167"/>
  <c r="Q31" i="168"/>
  <c r="Q29" i="167"/>
  <c r="Q29" i="168"/>
  <c r="F303" i="49"/>
  <c r="F323" i="49"/>
  <c r="F380" i="49"/>
  <c r="F400" i="49"/>
  <c r="I174" i="49"/>
  <c r="I194" i="49"/>
  <c r="J385" i="49"/>
  <c r="J405" i="49"/>
  <c r="J383" i="49"/>
  <c r="J403" i="49"/>
  <c r="J300" i="49"/>
  <c r="J320" i="49"/>
  <c r="R36" i="212"/>
  <c r="R36" i="213"/>
  <c r="Q36" i="213"/>
  <c r="R28" i="213"/>
  <c r="R28" i="212"/>
  <c r="C385" i="49"/>
  <c r="C405" i="49"/>
  <c r="C383" i="49"/>
  <c r="C403" i="49"/>
  <c r="M279" i="49"/>
  <c r="C300" i="49"/>
  <c r="C320" i="49"/>
  <c r="M277" i="49"/>
  <c r="C298" i="49"/>
  <c r="C318" i="49"/>
  <c r="M275" i="49"/>
  <c r="C296" i="49"/>
  <c r="C316" i="49"/>
  <c r="R28" i="174"/>
  <c r="R28" i="173"/>
  <c r="R38" i="173"/>
  <c r="R38" i="174"/>
  <c r="G301" i="49"/>
  <c r="G321" i="49"/>
  <c r="G378" i="49"/>
  <c r="G398" i="49"/>
  <c r="R32" i="174"/>
  <c r="Q32" i="174"/>
  <c r="R32" i="173"/>
  <c r="Q32" i="173"/>
  <c r="G376" i="49"/>
  <c r="G396" i="49"/>
  <c r="K300" i="49"/>
  <c r="K320" i="49"/>
  <c r="R38" i="197"/>
  <c r="Q38" i="197"/>
  <c r="R38" i="199"/>
  <c r="K301" i="49"/>
  <c r="K321" i="49"/>
  <c r="K378" i="49"/>
  <c r="K398" i="49"/>
  <c r="R32" i="197"/>
  <c r="R32" i="199"/>
  <c r="Q32" i="199"/>
  <c r="K376" i="49"/>
  <c r="K396" i="49"/>
  <c r="R28" i="197"/>
  <c r="R28" i="199"/>
  <c r="R28" i="156"/>
  <c r="R28" i="157"/>
  <c r="C294" i="49"/>
  <c r="L286" i="49"/>
  <c r="C314" i="49"/>
  <c r="D380" i="49"/>
  <c r="D400" i="49"/>
  <c r="R34" i="150"/>
  <c r="Q34" i="150"/>
  <c r="R34" i="151"/>
  <c r="D378" i="49"/>
  <c r="D398" i="49"/>
  <c r="D376" i="49"/>
  <c r="D396" i="49"/>
  <c r="D381" i="49"/>
  <c r="D401" i="49"/>
  <c r="R40" i="180"/>
  <c r="Q40" i="180"/>
  <c r="R40" i="179"/>
  <c r="Q40" i="179"/>
  <c r="H386" i="49"/>
  <c r="H406" i="49"/>
  <c r="R38" i="180"/>
  <c r="R38" i="179"/>
  <c r="H384" i="49"/>
  <c r="H404" i="49"/>
  <c r="H382" i="49"/>
  <c r="H402" i="49"/>
  <c r="H299" i="49"/>
  <c r="H319" i="49"/>
  <c r="R34" i="180"/>
  <c r="R34" i="179"/>
  <c r="Q34" i="179"/>
  <c r="H297" i="49"/>
  <c r="H317" i="49"/>
  <c r="R32" i="180"/>
  <c r="Q32" i="180"/>
  <c r="R32" i="179"/>
  <c r="Q32" i="179"/>
  <c r="H295" i="49"/>
  <c r="H315" i="49"/>
  <c r="R30" i="180"/>
  <c r="Q30" i="180"/>
  <c r="R30" i="179"/>
  <c r="R28" i="179"/>
  <c r="R28" i="180"/>
  <c r="R34" i="205"/>
  <c r="Q34" i="205"/>
  <c r="R34" i="206"/>
  <c r="R32" i="205"/>
  <c r="R32" i="206"/>
  <c r="Q32" i="206"/>
  <c r="R30" i="205"/>
  <c r="Q30" i="205"/>
  <c r="R30" i="206"/>
  <c r="R28" i="161"/>
  <c r="R28" i="160"/>
  <c r="R38" i="160"/>
  <c r="R38" i="161"/>
  <c r="E299" i="49"/>
  <c r="E319" i="49"/>
  <c r="R34" i="160"/>
  <c r="R34" i="161"/>
  <c r="E297" i="49"/>
  <c r="E317" i="49"/>
  <c r="R30" i="160"/>
  <c r="R30" i="161"/>
  <c r="E295" i="49"/>
  <c r="E315" i="49"/>
  <c r="I300" i="49"/>
  <c r="I320" i="49"/>
  <c r="R38" i="185"/>
  <c r="R38" i="186"/>
  <c r="Q38" i="186"/>
  <c r="I301" i="49"/>
  <c r="I321" i="49"/>
  <c r="I378" i="49"/>
  <c r="I398" i="49"/>
  <c r="R32" i="186"/>
  <c r="R32" i="185"/>
  <c r="Q32" i="185"/>
  <c r="I376" i="49"/>
  <c r="I396" i="49"/>
  <c r="Q35" i="204"/>
  <c r="Q35" i="209"/>
  <c r="P4" i="211"/>
  <c r="O3" i="211"/>
  <c r="P4" i="210"/>
  <c r="Q33" i="204"/>
  <c r="Q33" i="209"/>
  <c r="Q31" i="204"/>
  <c r="Q31" i="209"/>
  <c r="F301" i="49"/>
  <c r="F321" i="49"/>
  <c r="R36" i="167"/>
  <c r="Q36" i="167"/>
  <c r="R36" i="168"/>
  <c r="Q36" i="168"/>
  <c r="F378" i="49"/>
  <c r="F398" i="49"/>
  <c r="F376" i="49"/>
  <c r="F396" i="49"/>
  <c r="R40" i="167"/>
  <c r="Q40" i="167"/>
  <c r="R40" i="168"/>
  <c r="Q40" i="168"/>
  <c r="F386" i="49"/>
  <c r="F406" i="49"/>
  <c r="R38" i="167"/>
  <c r="R38" i="168"/>
  <c r="F384" i="49"/>
  <c r="F404" i="49"/>
  <c r="F302" i="49"/>
  <c r="F322" i="49"/>
  <c r="R28" i="168"/>
  <c r="R28" i="167"/>
  <c r="J299" i="49"/>
  <c r="J319" i="49"/>
  <c r="R34" i="191"/>
  <c r="R34" i="192"/>
  <c r="J297" i="49"/>
  <c r="J317" i="49"/>
  <c r="R32" i="191"/>
  <c r="Q32" i="191"/>
  <c r="R32" i="192"/>
  <c r="Q32" i="192"/>
  <c r="J295" i="49"/>
  <c r="J315" i="49"/>
  <c r="R30" i="191"/>
  <c r="R30" i="192"/>
  <c r="R40" i="191"/>
  <c r="Q40" i="191"/>
  <c r="R40" i="192"/>
  <c r="Q40" i="192"/>
  <c r="J386" i="49"/>
  <c r="J406" i="49"/>
  <c r="R38" i="191"/>
  <c r="R38" i="192"/>
  <c r="J384" i="49"/>
  <c r="J404" i="49"/>
  <c r="J302" i="49"/>
  <c r="J322" i="49"/>
  <c r="R34" i="212"/>
  <c r="Q34" i="212"/>
  <c r="R34" i="213"/>
  <c r="Q34" i="213"/>
  <c r="R32" i="212"/>
  <c r="R32" i="213"/>
  <c r="Q32" i="213"/>
  <c r="R30" i="213"/>
  <c r="Q30" i="213"/>
  <c r="R30" i="212"/>
  <c r="Q30" i="212"/>
  <c r="R40" i="212"/>
  <c r="R40" i="213"/>
  <c r="Q40" i="213"/>
  <c r="R38" i="213"/>
  <c r="Q38" i="213"/>
  <c r="R38" i="212"/>
  <c r="Q38" i="212"/>
  <c r="Q39" i="52"/>
  <c r="Q39" i="130"/>
  <c r="L285" i="49"/>
  <c r="C306" i="49"/>
  <c r="C326" i="49"/>
  <c r="Q37" i="130"/>
  <c r="Q37" i="52"/>
  <c r="L283" i="49"/>
  <c r="C304" i="49"/>
  <c r="C324" i="49"/>
  <c r="Q35" i="52"/>
  <c r="Q35" i="130"/>
  <c r="C381" i="49"/>
  <c r="C401" i="49"/>
  <c r="C382" i="49"/>
  <c r="C402" i="49"/>
  <c r="R34" i="130"/>
  <c r="R34" i="52"/>
  <c r="M278" i="49"/>
  <c r="C299" i="49"/>
  <c r="C319" i="49"/>
  <c r="R32" i="52"/>
  <c r="Q32" i="52"/>
  <c r="R32" i="130"/>
  <c r="Q32" i="130"/>
  <c r="M276" i="49"/>
  <c r="C297" i="49"/>
  <c r="C317" i="49"/>
  <c r="G300" i="49"/>
  <c r="G320" i="49"/>
  <c r="R28" i="176"/>
  <c r="R28" i="175"/>
  <c r="R36" i="174"/>
  <c r="Q36" i="174"/>
  <c r="R36" i="173"/>
  <c r="Q36" i="173"/>
  <c r="G299" i="49"/>
  <c r="G319" i="49"/>
  <c r="R34" i="173"/>
  <c r="R34" i="174"/>
  <c r="G297" i="49"/>
  <c r="G317" i="49"/>
  <c r="R30" i="173"/>
  <c r="R30" i="174"/>
  <c r="G295" i="49"/>
  <c r="G315" i="49"/>
  <c r="K402" i="49"/>
  <c r="K382" i="49"/>
  <c r="Q35" i="197"/>
  <c r="Q35" i="199"/>
  <c r="K379" i="49"/>
  <c r="K399" i="49"/>
  <c r="Q33" i="197"/>
  <c r="Q33" i="199"/>
  <c r="K377" i="49"/>
  <c r="K397" i="49"/>
  <c r="Q29" i="197"/>
  <c r="Q29" i="199"/>
  <c r="K375" i="49"/>
  <c r="K395" i="49"/>
  <c r="Q37" i="151"/>
  <c r="Q37" i="150"/>
  <c r="R36" i="150"/>
  <c r="D302" i="49"/>
  <c r="D322" i="49"/>
  <c r="D379" i="49"/>
  <c r="D399" i="49"/>
  <c r="D377" i="49"/>
  <c r="D397" i="49"/>
  <c r="Q29" i="151"/>
  <c r="Q29" i="150"/>
  <c r="R28" i="150"/>
  <c r="D375" i="49"/>
  <c r="D395" i="49"/>
  <c r="R28" i="181"/>
  <c r="R28" i="182"/>
  <c r="H305" i="49"/>
  <c r="H325" i="49"/>
  <c r="H303" i="49"/>
  <c r="H323" i="49"/>
  <c r="Q35" i="180"/>
  <c r="Q35" i="179"/>
  <c r="H381" i="49"/>
  <c r="H401" i="49"/>
  <c r="H298" i="49"/>
  <c r="H318" i="49"/>
  <c r="H296" i="49"/>
  <c r="H316" i="49"/>
  <c r="H380" i="49"/>
  <c r="H400" i="49"/>
  <c r="R40" i="205"/>
  <c r="R40" i="206"/>
  <c r="Q40" i="206"/>
  <c r="R38" i="205"/>
  <c r="Q38" i="205"/>
  <c r="R38" i="206"/>
  <c r="R36" i="205"/>
  <c r="R36" i="206"/>
  <c r="Q36" i="206"/>
  <c r="R28" i="206"/>
  <c r="R28" i="205"/>
  <c r="R36" i="184"/>
  <c r="R36" i="183"/>
  <c r="R30" i="158"/>
  <c r="Q30" i="158"/>
  <c r="R30" i="159"/>
  <c r="R38" i="156"/>
  <c r="R38" i="157"/>
  <c r="Q38" i="157"/>
  <c r="R30" i="203"/>
  <c r="Q30" i="203"/>
  <c r="R30" i="202"/>
  <c r="Q30" i="202"/>
  <c r="R34" i="203"/>
  <c r="Q34" i="203"/>
  <c r="R34" i="202"/>
  <c r="Q34" i="202"/>
  <c r="R36" i="202"/>
  <c r="R36" i="203"/>
  <c r="R30" i="175"/>
  <c r="R30" i="176"/>
  <c r="R34" i="175"/>
  <c r="R34" i="176"/>
  <c r="R36" i="175"/>
  <c r="Q36" i="175"/>
  <c r="R36" i="176"/>
  <c r="Q36" i="176"/>
  <c r="R32" i="152"/>
  <c r="R32" i="153"/>
  <c r="Q32" i="153"/>
  <c r="L276" i="49"/>
  <c r="M296" i="49"/>
  <c r="M316" i="49"/>
  <c r="Q33" i="152"/>
  <c r="Q33" i="153"/>
  <c r="R36" i="154"/>
  <c r="Q36" i="154"/>
  <c r="R36" i="155"/>
  <c r="Q36" i="155"/>
  <c r="R38" i="152"/>
  <c r="Q38" i="152"/>
  <c r="R38" i="153"/>
  <c r="L303" i="49"/>
  <c r="L323" i="49"/>
  <c r="Q39" i="152"/>
  <c r="Q39" i="153"/>
  <c r="Q37" i="195"/>
  <c r="Q37" i="196"/>
  <c r="Q39" i="195"/>
  <c r="Q39" i="196"/>
  <c r="Q29" i="194"/>
  <c r="Q29" i="193"/>
  <c r="Q31" i="193"/>
  <c r="Q31" i="194"/>
  <c r="Q33" i="194"/>
  <c r="Q33" i="193"/>
  <c r="Q37" i="172"/>
  <c r="Q37" i="171"/>
  <c r="Q39" i="171"/>
  <c r="Q39" i="172"/>
  <c r="Q35" i="169"/>
  <c r="Q35" i="170"/>
  <c r="Q31" i="189"/>
  <c r="Q31" i="190"/>
  <c r="Q37" i="187"/>
  <c r="Q37" i="188"/>
  <c r="Q29" i="162"/>
  <c r="Q29" i="163"/>
  <c r="Q33" i="162"/>
  <c r="Q33" i="163"/>
  <c r="Q37" i="162"/>
  <c r="Q37" i="163"/>
  <c r="R30" i="182"/>
  <c r="R30" i="181"/>
  <c r="R32" i="181"/>
  <c r="Q32" i="181"/>
  <c r="R32" i="182"/>
  <c r="Q32" i="182"/>
  <c r="R34" i="182"/>
  <c r="R34" i="181"/>
  <c r="R38" i="183"/>
  <c r="Q38" i="183"/>
  <c r="R38" i="184"/>
  <c r="Q38" i="184"/>
  <c r="R40" i="184"/>
  <c r="R40" i="183"/>
  <c r="Q31" i="158"/>
  <c r="Q31" i="159"/>
  <c r="Q33" i="158"/>
  <c r="Q33" i="159"/>
  <c r="Q35" i="158"/>
  <c r="Q35" i="159"/>
  <c r="L306" i="49"/>
  <c r="L326" i="49"/>
  <c r="Q31" i="202"/>
  <c r="Q31" i="203"/>
  <c r="Q37" i="200"/>
  <c r="Q37" i="201"/>
  <c r="Q31" i="178"/>
  <c r="Q31" i="177"/>
  <c r="Q37" i="175"/>
  <c r="Q37" i="176"/>
  <c r="L277" i="49"/>
  <c r="M297" i="49"/>
  <c r="M317" i="49"/>
  <c r="R28" i="186"/>
  <c r="R28" i="185"/>
  <c r="Q35" i="189"/>
  <c r="Q35" i="190"/>
  <c r="Q31" i="164"/>
  <c r="Q31" i="166"/>
  <c r="Q35" i="181"/>
  <c r="Q35" i="182"/>
  <c r="Q29" i="156"/>
  <c r="Q29" i="157"/>
  <c r="Q37" i="158"/>
  <c r="Q37" i="159"/>
  <c r="R30" i="200"/>
  <c r="Q30" i="200"/>
  <c r="R30" i="201"/>
  <c r="R34" i="200"/>
  <c r="Q34" i="200"/>
  <c r="R34" i="201"/>
  <c r="R36" i="200"/>
  <c r="R36" i="201"/>
  <c r="Q36" i="201"/>
  <c r="R30" i="177"/>
  <c r="Q30" i="177"/>
  <c r="R30" i="178"/>
  <c r="R34" i="177"/>
  <c r="Q34" i="177"/>
  <c r="R34" i="178"/>
  <c r="R36" i="178"/>
  <c r="Q36" i="178"/>
  <c r="R36" i="177"/>
  <c r="Q36" i="177"/>
  <c r="R32" i="154"/>
  <c r="Q32" i="154"/>
  <c r="R32" i="155"/>
  <c r="Q32" i="155"/>
  <c r="R34" i="154"/>
  <c r="R34" i="155"/>
  <c r="L281" i="49"/>
  <c r="M301" i="49"/>
  <c r="M321" i="49"/>
  <c r="Q35" i="152"/>
  <c r="Q35" i="153"/>
  <c r="R38" i="154"/>
  <c r="R38" i="155"/>
  <c r="R40" i="154"/>
  <c r="Q40" i="154"/>
  <c r="R40" i="155"/>
  <c r="Q40" i="155"/>
  <c r="R38" i="194"/>
  <c r="Q38" i="194"/>
  <c r="R38" i="193"/>
  <c r="Q38" i="193"/>
  <c r="R40" i="193"/>
  <c r="R40" i="194"/>
  <c r="R30" i="195"/>
  <c r="R30" i="196"/>
  <c r="R32" i="195"/>
  <c r="Q32" i="195"/>
  <c r="R32" i="196"/>
  <c r="Q32" i="196"/>
  <c r="R34" i="195"/>
  <c r="R34" i="196"/>
  <c r="R38" i="169"/>
  <c r="R38" i="170"/>
  <c r="R40" i="169"/>
  <c r="Q40" i="169"/>
  <c r="R40" i="170"/>
  <c r="Q40" i="170"/>
  <c r="R36" i="171"/>
  <c r="R36" i="172"/>
  <c r="R32" i="188"/>
  <c r="R32" i="187"/>
  <c r="Q32" i="187"/>
  <c r="R38" i="190"/>
  <c r="Q38" i="190"/>
  <c r="R38" i="189"/>
  <c r="Q38" i="189"/>
  <c r="R30" i="164"/>
  <c r="Q30" i="164"/>
  <c r="R30" i="166"/>
  <c r="R34" i="164"/>
  <c r="Q34" i="164"/>
  <c r="R34" i="166"/>
  <c r="R38" i="164"/>
  <c r="Q38" i="164"/>
  <c r="R38" i="166"/>
  <c r="R30" i="183"/>
  <c r="Q30" i="183"/>
  <c r="R30" i="184"/>
  <c r="Q30" i="184"/>
  <c r="R32" i="184"/>
  <c r="R32" i="183"/>
  <c r="R34" i="183"/>
  <c r="Q34" i="183"/>
  <c r="R34" i="184"/>
  <c r="Q34" i="184"/>
  <c r="R38" i="182"/>
  <c r="R38" i="181"/>
  <c r="R40" i="181"/>
  <c r="Q40" i="181"/>
  <c r="R40" i="182"/>
  <c r="Q40" i="182"/>
  <c r="R32" i="157"/>
  <c r="R32" i="156"/>
  <c r="Q32" i="156"/>
  <c r="R34" i="156"/>
  <c r="R34" i="157"/>
  <c r="Q34" i="157"/>
  <c r="R36" i="157"/>
  <c r="R36" i="156"/>
  <c r="Q36" i="156"/>
  <c r="R32" i="200"/>
  <c r="R32" i="201"/>
  <c r="Q32" i="201"/>
  <c r="R38" i="203"/>
  <c r="Q38" i="203"/>
  <c r="R38" i="202"/>
  <c r="Q38" i="202"/>
  <c r="R32" i="175"/>
  <c r="Q32" i="175"/>
  <c r="R32" i="176"/>
  <c r="Q32" i="176"/>
  <c r="R38" i="177"/>
  <c r="Q38" i="177"/>
  <c r="R38" i="178"/>
  <c r="L282" i="49"/>
  <c r="M302" i="49"/>
  <c r="M322" i="49"/>
  <c r="R36" i="193"/>
  <c r="R36" i="194"/>
  <c r="Q29" i="169"/>
  <c r="Q29" i="170"/>
  <c r="Q31" i="169"/>
  <c r="Q31" i="170"/>
  <c r="Q33" i="169"/>
  <c r="Q33" i="170"/>
  <c r="Q29" i="187"/>
  <c r="Q29" i="188"/>
  <c r="Q33" i="187"/>
  <c r="Q33" i="188"/>
  <c r="Q35" i="188"/>
  <c r="Q35" i="187"/>
  <c r="Q31" i="162"/>
  <c r="Q31" i="163"/>
  <c r="Q35" i="162"/>
  <c r="Q35" i="163"/>
  <c r="R36" i="195"/>
  <c r="Q36" i="195"/>
  <c r="R36" i="196"/>
  <c r="Q36" i="196"/>
  <c r="Q29" i="172"/>
  <c r="Q29" i="171"/>
  <c r="Q31" i="171"/>
  <c r="Q31" i="172"/>
  <c r="Q33" i="172"/>
  <c r="Q33" i="171"/>
  <c r="Q29" i="190"/>
  <c r="Q29" i="189"/>
  <c r="Q33" i="190"/>
  <c r="Q33" i="189"/>
  <c r="R36" i="164"/>
  <c r="R36" i="166"/>
  <c r="Q36" i="166"/>
  <c r="Q35" i="184"/>
  <c r="Q35" i="183"/>
  <c r="Q29" i="158"/>
  <c r="Q29" i="159"/>
  <c r="Q37" i="156"/>
  <c r="Q37" i="157"/>
  <c r="Q29" i="203"/>
  <c r="Q29" i="202"/>
  <c r="Q33" i="203"/>
  <c r="Q33" i="202"/>
  <c r="Q35" i="202"/>
  <c r="Q35" i="203"/>
  <c r="Q29" i="175"/>
  <c r="Q29" i="176"/>
  <c r="Q33" i="175"/>
  <c r="Q33" i="176"/>
  <c r="Q35" i="175"/>
  <c r="Q35" i="176"/>
  <c r="Q31" i="152"/>
  <c r="Q31" i="153"/>
  <c r="R34" i="152"/>
  <c r="Q34" i="152"/>
  <c r="R34" i="153"/>
  <c r="L278" i="49"/>
  <c r="M298" i="49"/>
  <c r="M318" i="49"/>
  <c r="Q35" i="154"/>
  <c r="Q35" i="155"/>
  <c r="Q37" i="152"/>
  <c r="Q37" i="153"/>
  <c r="R40" i="152"/>
  <c r="R40" i="153"/>
  <c r="Q40" i="153"/>
  <c r="L305" i="49"/>
  <c r="L325" i="49"/>
  <c r="R38" i="195"/>
  <c r="R38" i="196"/>
  <c r="R40" i="195"/>
  <c r="Q40" i="195"/>
  <c r="R40" i="196"/>
  <c r="Q40" i="196"/>
  <c r="R30" i="194"/>
  <c r="Q30" i="194"/>
  <c r="R30" i="193"/>
  <c r="Q30" i="193"/>
  <c r="R32" i="193"/>
  <c r="R32" i="194"/>
  <c r="R34" i="194"/>
  <c r="Q34" i="194"/>
  <c r="R34" i="193"/>
  <c r="Q34" i="193"/>
  <c r="R38" i="172"/>
  <c r="Q38" i="172"/>
  <c r="R38" i="171"/>
  <c r="Q38" i="171"/>
  <c r="R40" i="171"/>
  <c r="R40" i="172"/>
  <c r="R36" i="169"/>
  <c r="Q36" i="169"/>
  <c r="R36" i="170"/>
  <c r="Q36" i="170"/>
  <c r="R32" i="189"/>
  <c r="R32" i="190"/>
  <c r="R38" i="187"/>
  <c r="R38" i="188"/>
  <c r="Q38" i="188"/>
  <c r="R30" i="162"/>
  <c r="Q30" i="162"/>
  <c r="R30" i="163"/>
  <c r="R34" i="162"/>
  <c r="Q34" i="162"/>
  <c r="R34" i="163"/>
  <c r="R38" i="162"/>
  <c r="Q38" i="162"/>
  <c r="R38" i="163"/>
  <c r="Q29" i="182"/>
  <c r="Q29" i="181"/>
  <c r="Q31" i="181"/>
  <c r="Q31" i="182"/>
  <c r="Q33" i="182"/>
  <c r="Q33" i="181"/>
  <c r="Q37" i="183"/>
  <c r="Q37" i="184"/>
  <c r="Q39" i="184"/>
  <c r="Q39" i="183"/>
  <c r="R32" i="158"/>
  <c r="R32" i="159"/>
  <c r="Q32" i="159"/>
  <c r="R34" i="158"/>
  <c r="Q34" i="158"/>
  <c r="R34" i="159"/>
  <c r="R36" i="158"/>
  <c r="R36" i="159"/>
  <c r="Q36" i="159"/>
  <c r="R28" i="153"/>
  <c r="R28" i="152"/>
  <c r="R32" i="202"/>
  <c r="R32" i="203"/>
  <c r="R38" i="200"/>
  <c r="Q38" i="200"/>
  <c r="R38" i="201"/>
  <c r="R32" i="178"/>
  <c r="Q32" i="178"/>
  <c r="R32" i="177"/>
  <c r="Q32" i="177"/>
  <c r="R38" i="175"/>
  <c r="R38" i="176"/>
  <c r="L275" i="49"/>
  <c r="M295" i="49"/>
  <c r="M315" i="49"/>
  <c r="L279" i="49"/>
  <c r="M299" i="49"/>
  <c r="M319" i="49"/>
  <c r="R36" i="189"/>
  <c r="R36" i="190"/>
  <c r="R32" i="164"/>
  <c r="R32" i="166"/>
  <c r="Q32" i="166"/>
  <c r="R36" i="181"/>
  <c r="Q36" i="181"/>
  <c r="R36" i="182"/>
  <c r="Q36" i="182"/>
  <c r="R30" i="156"/>
  <c r="R30" i="157"/>
  <c r="Q30" i="157"/>
  <c r="R38" i="158"/>
  <c r="Q38" i="158"/>
  <c r="R38" i="159"/>
  <c r="Q29" i="200"/>
  <c r="Q29" i="201"/>
  <c r="Q33" i="200"/>
  <c r="Q33" i="201"/>
  <c r="Q35" i="200"/>
  <c r="Q35" i="201"/>
  <c r="Q29" i="177"/>
  <c r="Q29" i="178"/>
  <c r="Q33" i="177"/>
  <c r="Q33" i="178"/>
  <c r="Q35" i="178"/>
  <c r="Q35" i="177"/>
  <c r="Q31" i="154"/>
  <c r="Q31" i="155"/>
  <c r="Q33" i="154"/>
  <c r="Q33" i="155"/>
  <c r="R36" i="152"/>
  <c r="R36" i="153"/>
  <c r="Q36" i="153"/>
  <c r="L280" i="49"/>
  <c r="M300" i="49"/>
  <c r="M320" i="49"/>
  <c r="Q37" i="154"/>
  <c r="Q37" i="155"/>
  <c r="Q39" i="154"/>
  <c r="Q39" i="155"/>
  <c r="Q37" i="194"/>
  <c r="Q37" i="193"/>
  <c r="Q39" i="193"/>
  <c r="Q39" i="194"/>
  <c r="Q29" i="195"/>
  <c r="Q29" i="196"/>
  <c r="Q31" i="195"/>
  <c r="Q31" i="196"/>
  <c r="Q33" i="195"/>
  <c r="Q33" i="196"/>
  <c r="Q37" i="169"/>
  <c r="Q37" i="170"/>
  <c r="Q39" i="169"/>
  <c r="Q39" i="170"/>
  <c r="Q35" i="171"/>
  <c r="Q35" i="172"/>
  <c r="Q31" i="188"/>
  <c r="Q31" i="187"/>
  <c r="Q37" i="190"/>
  <c r="Q37" i="189"/>
  <c r="Q29" i="164"/>
  <c r="Q29" i="166"/>
  <c r="Q33" i="164"/>
  <c r="Q33" i="166"/>
  <c r="Q37" i="164"/>
  <c r="Q37" i="166"/>
  <c r="Q29" i="183"/>
  <c r="Q29" i="184"/>
  <c r="Q31" i="184"/>
  <c r="Q31" i="183"/>
  <c r="Q33" i="183"/>
  <c r="Q33" i="184"/>
  <c r="Q37" i="182"/>
  <c r="Q37" i="181"/>
  <c r="Q39" i="181"/>
  <c r="Q39" i="182"/>
  <c r="Q31" i="157"/>
  <c r="Q31" i="156"/>
  <c r="Q33" i="156"/>
  <c r="Q33" i="157"/>
  <c r="Q35" i="157"/>
  <c r="Q35" i="156"/>
  <c r="Q31" i="200"/>
  <c r="Q31" i="201"/>
  <c r="Q37" i="203"/>
  <c r="Q37" i="202"/>
  <c r="Q31" i="175"/>
  <c r="Q31" i="176"/>
  <c r="Q37" i="177"/>
  <c r="Q37" i="178"/>
  <c r="L304" i="49"/>
  <c r="L324" i="49"/>
  <c r="Q35" i="193"/>
  <c r="Q35" i="194"/>
  <c r="R30" i="169"/>
  <c r="R30" i="170"/>
  <c r="R32" i="169"/>
  <c r="Q32" i="169"/>
  <c r="R32" i="170"/>
  <c r="Q32" i="170"/>
  <c r="R34" i="169"/>
  <c r="R34" i="170"/>
  <c r="R30" i="187"/>
  <c r="R30" i="188"/>
  <c r="Q30" i="188"/>
  <c r="R34" i="187"/>
  <c r="R34" i="188"/>
  <c r="Q34" i="188"/>
  <c r="R36" i="188"/>
  <c r="R36" i="187"/>
  <c r="Q36" i="187"/>
  <c r="R32" i="162"/>
  <c r="R32" i="163"/>
  <c r="Q32" i="163"/>
  <c r="R36" i="162"/>
  <c r="R36" i="163"/>
  <c r="Q36" i="163"/>
  <c r="Q35" i="195"/>
  <c r="Q35" i="196"/>
  <c r="R30" i="172"/>
  <c r="Q30" i="172"/>
  <c r="R30" i="171"/>
  <c r="Q30" i="171"/>
  <c r="R32" i="171"/>
  <c r="R32" i="172"/>
  <c r="R34" i="172"/>
  <c r="Q34" i="172"/>
  <c r="R34" i="171"/>
  <c r="Q34" i="171"/>
  <c r="R30" i="190"/>
  <c r="Q30" i="190"/>
  <c r="R30" i="189"/>
  <c r="Q30" i="189"/>
  <c r="R34" i="190"/>
  <c r="Q34" i="190"/>
  <c r="R34" i="189"/>
  <c r="Q34" i="189"/>
  <c r="Q35" i="164"/>
  <c r="Q35" i="166"/>
  <c r="R38" i="207"/>
  <c r="R38" i="208"/>
  <c r="R36" i="210"/>
  <c r="Q36" i="210"/>
  <c r="R36" i="211"/>
  <c r="Q36" i="211"/>
  <c r="L300" i="49"/>
  <c r="L320" i="49"/>
  <c r="L299" i="49"/>
  <c r="L319" i="49"/>
  <c r="Q29" i="210"/>
  <c r="Q29" i="211"/>
  <c r="Q33" i="210"/>
  <c r="Q33" i="211"/>
  <c r="R38" i="210"/>
  <c r="R38" i="211"/>
  <c r="Q38" i="211"/>
  <c r="L302" i="49"/>
  <c r="K302" i="49"/>
  <c r="L322" i="49"/>
  <c r="L301" i="49"/>
  <c r="L321" i="49"/>
  <c r="L297" i="49"/>
  <c r="L317" i="49"/>
  <c r="R40" i="207"/>
  <c r="Q40" i="207"/>
  <c r="R40" i="208"/>
  <c r="Q40" i="208"/>
  <c r="Q31" i="210"/>
  <c r="Q31" i="211"/>
  <c r="Q37" i="207"/>
  <c r="Q37" i="208"/>
  <c r="Q35" i="210"/>
  <c r="Q35" i="211"/>
  <c r="R30" i="210"/>
  <c r="R30" i="211"/>
  <c r="L295" i="49"/>
  <c r="L315" i="49"/>
  <c r="R34" i="210"/>
  <c r="R34" i="211"/>
  <c r="L298" i="49"/>
  <c r="L318" i="49"/>
  <c r="Q37" i="210"/>
  <c r="Q37" i="211"/>
  <c r="Q39" i="207"/>
  <c r="Q39" i="208"/>
  <c r="R32" i="210"/>
  <c r="Q32" i="210"/>
  <c r="R32" i="211"/>
  <c r="Q32" i="211"/>
  <c r="L296" i="49"/>
  <c r="L316" i="49"/>
  <c r="Q29" i="207"/>
  <c r="Q29" i="208"/>
  <c r="Q31" i="207"/>
  <c r="Q31" i="208"/>
  <c r="Q35" i="207"/>
  <c r="Q35" i="208"/>
  <c r="R34" i="207"/>
  <c r="R34" i="208"/>
  <c r="R30" i="207"/>
  <c r="R30" i="208"/>
  <c r="R32" i="207"/>
  <c r="Q32" i="207"/>
  <c r="R32" i="208"/>
  <c r="Q32" i="208"/>
  <c r="R36" i="207"/>
  <c r="Q36" i="207"/>
  <c r="R36" i="208"/>
  <c r="Q36" i="208"/>
  <c r="Q33" i="207"/>
  <c r="Q33" i="208"/>
  <c r="O3" i="207"/>
  <c r="O3" i="205"/>
  <c r="O3" i="204"/>
  <c r="O3" i="210"/>
  <c r="P10" i="168"/>
  <c r="P10" i="209"/>
  <c r="O10" i="209"/>
  <c r="P10" i="157"/>
  <c r="O10" i="157"/>
  <c r="P10" i="213"/>
  <c r="O3" i="212"/>
  <c r="P10" i="178"/>
  <c r="P10" i="192"/>
  <c r="P10" i="176"/>
  <c r="P10" i="152"/>
  <c r="P10" i="199"/>
  <c r="P10" i="181"/>
  <c r="D77" i="49"/>
  <c r="G74" i="49"/>
  <c r="G77" i="49"/>
  <c r="J74" i="49"/>
  <c r="F77" i="49"/>
  <c r="I74" i="49"/>
  <c r="E77" i="49"/>
  <c r="H74" i="49"/>
  <c r="N69" i="49"/>
  <c r="N116" i="49"/>
  <c r="N111" i="49"/>
  <c r="H77" i="49"/>
  <c r="K74" i="49"/>
  <c r="C74" i="49"/>
  <c r="K77" i="49"/>
  <c r="C77" i="49"/>
  <c r="F74" i="49"/>
  <c r="J77" i="49"/>
  <c r="M74" i="49"/>
  <c r="E74" i="49"/>
  <c r="I77" i="49"/>
  <c r="L74" i="49"/>
  <c r="L70" i="49"/>
  <c r="L117" i="49"/>
  <c r="D74" i="49"/>
  <c r="M69" i="49"/>
  <c r="E140" i="49"/>
  <c r="E149" i="49"/>
  <c r="K140" i="49"/>
  <c r="K149" i="49"/>
  <c r="C140" i="49"/>
  <c r="C149" i="49"/>
  <c r="H140" i="49"/>
  <c r="H149" i="49"/>
  <c r="C145" i="49"/>
  <c r="C69" i="49"/>
  <c r="C116" i="49"/>
  <c r="C111" i="49"/>
  <c r="D145" i="49"/>
  <c r="E145" i="49"/>
  <c r="F145" i="49"/>
  <c r="G145" i="49"/>
  <c r="H145" i="49"/>
  <c r="I145" i="49"/>
  <c r="J145" i="49"/>
  <c r="K145" i="49"/>
  <c r="M140" i="49"/>
  <c r="M149" i="49"/>
  <c r="D140" i="49"/>
  <c r="D149" i="49"/>
  <c r="F140" i="49"/>
  <c r="F149" i="49"/>
  <c r="L140" i="49"/>
  <c r="L149" i="49"/>
  <c r="N140" i="49"/>
  <c r="N149" i="49"/>
  <c r="J140" i="49"/>
  <c r="J149" i="49"/>
  <c r="G140" i="49"/>
  <c r="G149" i="49"/>
  <c r="I140" i="49"/>
  <c r="I149" i="49"/>
  <c r="M70" i="49"/>
  <c r="M116" i="49"/>
  <c r="J79" i="49"/>
  <c r="J78" i="49"/>
  <c r="J69" i="49"/>
  <c r="J116" i="49"/>
  <c r="J111" i="49"/>
  <c r="H79" i="49"/>
  <c r="H78" i="49"/>
  <c r="H69" i="49"/>
  <c r="H71" i="49"/>
  <c r="H118" i="49"/>
  <c r="F79" i="49"/>
  <c r="F78" i="49"/>
  <c r="F69" i="49"/>
  <c r="F116" i="49"/>
  <c r="F111" i="49"/>
  <c r="D79" i="49"/>
  <c r="D78" i="49"/>
  <c r="D69" i="49"/>
  <c r="D70" i="49"/>
  <c r="D117" i="49"/>
  <c r="K79" i="49"/>
  <c r="K78" i="49"/>
  <c r="K69" i="49"/>
  <c r="K116" i="49"/>
  <c r="K111" i="49"/>
  <c r="I79" i="49"/>
  <c r="I78" i="49"/>
  <c r="I69" i="49"/>
  <c r="G79" i="49"/>
  <c r="G78" i="49"/>
  <c r="G69" i="49"/>
  <c r="E79" i="49"/>
  <c r="E78" i="49"/>
  <c r="E69" i="49"/>
  <c r="C79" i="49"/>
  <c r="C78" i="49"/>
  <c r="L37" i="49"/>
  <c r="P8" i="208"/>
  <c r="C70" i="49"/>
  <c r="C112" i="49"/>
  <c r="F70" i="49"/>
  <c r="G71" i="49"/>
  <c r="G118" i="49"/>
  <c r="G98" i="49"/>
  <c r="F71" i="49"/>
  <c r="L112" i="49"/>
  <c r="L96" i="49"/>
  <c r="L25" i="49"/>
  <c r="L87" i="49"/>
  <c r="J112" i="49"/>
  <c r="F112" i="49"/>
  <c r="K96" i="49"/>
  <c r="O8" i="207"/>
  <c r="O8" i="208"/>
  <c r="N87" i="49"/>
  <c r="N112" i="49"/>
  <c r="L88" i="49"/>
  <c r="L97" i="49"/>
  <c r="N96" i="49"/>
  <c r="C71" i="49"/>
  <c r="C118" i="49"/>
  <c r="K25" i="49"/>
  <c r="P8" i="197"/>
  <c r="O7" i="197"/>
  <c r="P6" i="207"/>
  <c r="K112" i="49"/>
  <c r="K113" i="49"/>
  <c r="K114" i="49"/>
  <c r="K71" i="49"/>
  <c r="K118" i="49"/>
  <c r="K46" i="49"/>
  <c r="K47" i="49"/>
  <c r="J70" i="49"/>
  <c r="J71" i="49"/>
  <c r="J118" i="49"/>
  <c r="J89" i="49"/>
  <c r="K70" i="49"/>
  <c r="K117" i="49"/>
  <c r="L40" i="49"/>
  <c r="O16" i="208"/>
  <c r="P6" i="208"/>
  <c r="J87" i="49"/>
  <c r="O6" i="207"/>
  <c r="O14" i="207"/>
  <c r="O7" i="208"/>
  <c r="O6" i="208"/>
  <c r="O14" i="208"/>
  <c r="P8" i="207"/>
  <c r="O7" i="207"/>
  <c r="K87" i="49"/>
  <c r="F96" i="49"/>
  <c r="F87" i="49"/>
  <c r="J96" i="49"/>
  <c r="M87" i="49"/>
  <c r="M111" i="49"/>
  <c r="M112" i="49"/>
  <c r="M96" i="49"/>
  <c r="M117" i="49"/>
  <c r="M88" i="49"/>
  <c r="F118" i="49"/>
  <c r="F98" i="49"/>
  <c r="P42" i="172"/>
  <c r="K89" i="49"/>
  <c r="G70" i="49"/>
  <c r="G117" i="49"/>
  <c r="G116" i="49"/>
  <c r="G111" i="49"/>
  <c r="J117" i="49"/>
  <c r="J37" i="49"/>
  <c r="F117" i="49"/>
  <c r="F97" i="49"/>
  <c r="P42" i="169"/>
  <c r="E71" i="49"/>
  <c r="E116" i="49"/>
  <c r="E111" i="49"/>
  <c r="I70" i="49"/>
  <c r="I116" i="49"/>
  <c r="I111" i="49"/>
  <c r="D71" i="49"/>
  <c r="D118" i="49"/>
  <c r="D46" i="49"/>
  <c r="D116" i="49"/>
  <c r="H70" i="49"/>
  <c r="H116" i="49"/>
  <c r="H111" i="49"/>
  <c r="C117" i="49"/>
  <c r="C88" i="49"/>
  <c r="E70" i="49"/>
  <c r="E117" i="49"/>
  <c r="O8" i="203"/>
  <c r="I71" i="49"/>
  <c r="D98" i="49"/>
  <c r="P42" i="158"/>
  <c r="P4" i="160"/>
  <c r="O3" i="160"/>
  <c r="E80" i="49"/>
  <c r="P4" i="161"/>
  <c r="O3" i="161"/>
  <c r="E83" i="49"/>
  <c r="P5" i="173"/>
  <c r="G82" i="49"/>
  <c r="P5" i="174"/>
  <c r="G85" i="49"/>
  <c r="P4" i="185"/>
  <c r="O3" i="185"/>
  <c r="I80" i="49"/>
  <c r="P4" i="186"/>
  <c r="O3" i="186"/>
  <c r="I83" i="49"/>
  <c r="P5" i="197"/>
  <c r="K82" i="49"/>
  <c r="P5" i="199"/>
  <c r="K85" i="49"/>
  <c r="P4" i="150"/>
  <c r="O3" i="150"/>
  <c r="D83" i="49"/>
  <c r="P4" i="151"/>
  <c r="O3" i="151"/>
  <c r="D80" i="49"/>
  <c r="P5" i="167"/>
  <c r="F85" i="49"/>
  <c r="P5" i="168"/>
  <c r="F82" i="49"/>
  <c r="P4" i="179"/>
  <c r="O3" i="179"/>
  <c r="H80" i="49"/>
  <c r="P4" i="180"/>
  <c r="O3" i="180"/>
  <c r="H83" i="49"/>
  <c r="P5" i="191"/>
  <c r="J82" i="49"/>
  <c r="P5" i="192"/>
  <c r="J85" i="49"/>
  <c r="P5" i="161"/>
  <c r="E82" i="49"/>
  <c r="P5" i="160"/>
  <c r="E85" i="49"/>
  <c r="P4" i="173"/>
  <c r="O3" i="173"/>
  <c r="G80" i="49"/>
  <c r="P4" i="174"/>
  <c r="O3" i="174"/>
  <c r="G83" i="49"/>
  <c r="P5" i="185"/>
  <c r="P5" i="186"/>
  <c r="O5" i="186"/>
  <c r="I82" i="49"/>
  <c r="I85" i="49"/>
  <c r="P4" i="199"/>
  <c r="O3" i="199"/>
  <c r="K80" i="49"/>
  <c r="P4" i="197"/>
  <c r="O3" i="197"/>
  <c r="K83" i="49"/>
  <c r="P5" i="150"/>
  <c r="D82" i="49"/>
  <c r="P5" i="151"/>
  <c r="D85" i="49"/>
  <c r="P4" i="167"/>
  <c r="O3" i="167"/>
  <c r="F80" i="49"/>
  <c r="P4" i="168"/>
  <c r="O3" i="168"/>
  <c r="F83" i="49"/>
  <c r="P5" i="179"/>
  <c r="H85" i="49"/>
  <c r="P5" i="180"/>
  <c r="H82" i="49"/>
  <c r="P4" i="191"/>
  <c r="O3" i="191"/>
  <c r="J80" i="49"/>
  <c r="P4" i="192"/>
  <c r="O3" i="192"/>
  <c r="J83" i="49"/>
  <c r="C275" i="49"/>
  <c r="C195" i="49"/>
  <c r="C355" i="49"/>
  <c r="C175" i="49"/>
  <c r="P4" i="130"/>
  <c r="O3" i="130"/>
  <c r="C80" i="49"/>
  <c r="P4" i="52"/>
  <c r="O3" i="52"/>
  <c r="C83" i="49"/>
  <c r="P5" i="52"/>
  <c r="C85" i="49"/>
  <c r="P5" i="130"/>
  <c r="C82" i="49"/>
  <c r="C87" i="49"/>
  <c r="E112" i="49"/>
  <c r="E113" i="49"/>
  <c r="E114" i="49"/>
  <c r="C96" i="49"/>
  <c r="P42" i="153"/>
  <c r="L113" i="49"/>
  <c r="L114" i="49"/>
  <c r="L38" i="49"/>
  <c r="J97" i="49"/>
  <c r="P42" i="193"/>
  <c r="J113" i="49"/>
  <c r="J114" i="49"/>
  <c r="G89" i="49"/>
  <c r="G46" i="49"/>
  <c r="G49" i="49"/>
  <c r="F113" i="49"/>
  <c r="F114" i="49"/>
  <c r="C113" i="49"/>
  <c r="C114" i="49"/>
  <c r="H98" i="49"/>
  <c r="H89" i="49"/>
  <c r="H46" i="49"/>
  <c r="P8" i="199"/>
  <c r="K30" i="49"/>
  <c r="K134" i="49"/>
  <c r="O8" i="199"/>
  <c r="P6" i="199"/>
  <c r="O7" i="199"/>
  <c r="O6" i="197"/>
  <c r="P42" i="212"/>
  <c r="P42" i="213"/>
  <c r="N25" i="49"/>
  <c r="L124" i="49"/>
  <c r="L41" i="49"/>
  <c r="P42" i="207"/>
  <c r="P42" i="208"/>
  <c r="P42" i="178"/>
  <c r="G125" i="49"/>
  <c r="P42" i="177"/>
  <c r="O41" i="207"/>
  <c r="O41" i="208"/>
  <c r="P42" i="199"/>
  <c r="K123" i="49"/>
  <c r="K29" i="49"/>
  <c r="P42" i="197"/>
  <c r="P42" i="204"/>
  <c r="P42" i="209"/>
  <c r="M25" i="49"/>
  <c r="P6" i="206"/>
  <c r="P8" i="206"/>
  <c r="O7" i="206"/>
  <c r="P8" i="205"/>
  <c r="P6" i="205"/>
  <c r="O8" i="205"/>
  <c r="L134" i="49"/>
  <c r="L28" i="49"/>
  <c r="O6" i="205"/>
  <c r="O6" i="206"/>
  <c r="L31" i="49"/>
  <c r="L30" i="49"/>
  <c r="O8" i="206"/>
  <c r="O7" i="205"/>
  <c r="K88" i="49"/>
  <c r="K37" i="49"/>
  <c r="K97" i="49"/>
  <c r="C89" i="49"/>
  <c r="C98" i="49"/>
  <c r="C46" i="49"/>
  <c r="D97" i="49"/>
  <c r="P42" i="156"/>
  <c r="D88" i="49"/>
  <c r="D37" i="49"/>
  <c r="O16" i="207"/>
  <c r="P8" i="202"/>
  <c r="O7" i="202"/>
  <c r="P42" i="170"/>
  <c r="P42" i="171"/>
  <c r="P42" i="167"/>
  <c r="P42" i="168"/>
  <c r="F123" i="49"/>
  <c r="F25" i="49"/>
  <c r="P42" i="192"/>
  <c r="P42" i="191"/>
  <c r="J123" i="49"/>
  <c r="J25" i="49"/>
  <c r="P42" i="52"/>
  <c r="P42" i="206"/>
  <c r="L123" i="49"/>
  <c r="L29" i="49"/>
  <c r="P42" i="205"/>
  <c r="N113" i="49"/>
  <c r="N114" i="49"/>
  <c r="P6" i="203"/>
  <c r="O6" i="199"/>
  <c r="P6" i="197"/>
  <c r="K32" i="49"/>
  <c r="K31" i="49"/>
  <c r="C97" i="49"/>
  <c r="P42" i="152"/>
  <c r="O8" i="202"/>
  <c r="K28" i="49"/>
  <c r="O8" i="197"/>
  <c r="J88" i="49"/>
  <c r="M113" i="49"/>
  <c r="M114" i="49"/>
  <c r="D96" i="49"/>
  <c r="D25" i="49"/>
  <c r="P8" i="151"/>
  <c r="O7" i="151"/>
  <c r="D111" i="49"/>
  <c r="L27" i="49"/>
  <c r="L39" i="49"/>
  <c r="L26" i="49"/>
  <c r="P41" i="206"/>
  <c r="O15" i="206"/>
  <c r="F89" i="49"/>
  <c r="F125" i="49"/>
  <c r="J98" i="49"/>
  <c r="J125" i="49"/>
  <c r="F88" i="49"/>
  <c r="F124" i="49"/>
  <c r="D89" i="49"/>
  <c r="O8" i="158"/>
  <c r="P8" i="159"/>
  <c r="O7" i="159"/>
  <c r="P8" i="158"/>
  <c r="O7" i="158"/>
  <c r="O6" i="158"/>
  <c r="O14" i="158"/>
  <c r="D49" i="49"/>
  <c r="O6" i="159"/>
  <c r="O41" i="159"/>
  <c r="O8" i="159"/>
  <c r="P6" i="159"/>
  <c r="P6" i="158"/>
  <c r="M97" i="49"/>
  <c r="M37" i="49"/>
  <c r="P6" i="194"/>
  <c r="O8" i="193"/>
  <c r="P8" i="194"/>
  <c r="O7" i="194"/>
  <c r="O6" i="194"/>
  <c r="P6" i="193"/>
  <c r="O8" i="194"/>
  <c r="O6" i="193"/>
  <c r="P8" i="193"/>
  <c r="O7" i="193"/>
  <c r="I118" i="49"/>
  <c r="I98" i="49"/>
  <c r="H117" i="49"/>
  <c r="H37" i="49"/>
  <c r="I117" i="49"/>
  <c r="I88" i="49"/>
  <c r="E118" i="49"/>
  <c r="E98" i="49"/>
  <c r="G97" i="49"/>
  <c r="G37" i="49"/>
  <c r="G88" i="49"/>
  <c r="J40" i="49"/>
  <c r="O16" i="193"/>
  <c r="K98" i="49"/>
  <c r="F37" i="49"/>
  <c r="F41" i="49"/>
  <c r="J46" i="49"/>
  <c r="J50" i="49"/>
  <c r="F46" i="49"/>
  <c r="H87" i="49"/>
  <c r="H96" i="49"/>
  <c r="H112" i="49"/>
  <c r="H113" i="49"/>
  <c r="H114" i="49"/>
  <c r="H25" i="49"/>
  <c r="D112" i="49"/>
  <c r="D113" i="49"/>
  <c r="D114" i="49"/>
  <c r="D87" i="49"/>
  <c r="E87" i="49"/>
  <c r="E96" i="49"/>
  <c r="G112" i="49"/>
  <c r="G113" i="49"/>
  <c r="G114" i="49"/>
  <c r="G47" i="49"/>
  <c r="G87" i="49"/>
  <c r="G96" i="49"/>
  <c r="F50" i="49"/>
  <c r="F40" i="49"/>
  <c r="C37" i="49"/>
  <c r="C38" i="49"/>
  <c r="G50" i="49"/>
  <c r="E88" i="49"/>
  <c r="E37" i="49"/>
  <c r="E97" i="49"/>
  <c r="O6" i="202"/>
  <c r="P6" i="202"/>
  <c r="P8" i="203"/>
  <c r="O7" i="203"/>
  <c r="O6" i="203"/>
  <c r="O14" i="203"/>
  <c r="I112" i="49"/>
  <c r="I96" i="49"/>
  <c r="I25" i="49"/>
  <c r="I87" i="49"/>
  <c r="P5" i="187"/>
  <c r="P5" i="188"/>
  <c r="P4" i="195"/>
  <c r="O3" i="195"/>
  <c r="P4" i="196"/>
  <c r="O3" i="196"/>
  <c r="P4" i="194"/>
  <c r="O3" i="194"/>
  <c r="P2" i="194"/>
  <c r="P10" i="194"/>
  <c r="P4" i="193"/>
  <c r="O3" i="193"/>
  <c r="P5" i="181"/>
  <c r="P5" i="182"/>
  <c r="P5" i="183"/>
  <c r="P5" i="184"/>
  <c r="P4" i="171"/>
  <c r="O3" i="171"/>
  <c r="P4" i="172"/>
  <c r="O3" i="172"/>
  <c r="P4" i="169"/>
  <c r="O3" i="169"/>
  <c r="P4" i="170"/>
  <c r="O3" i="170"/>
  <c r="P5" i="158"/>
  <c r="O5" i="158"/>
  <c r="P5" i="159"/>
  <c r="P5" i="156"/>
  <c r="P5" i="157"/>
  <c r="P4" i="202"/>
  <c r="O3" i="202"/>
  <c r="P4" i="203"/>
  <c r="O3" i="203"/>
  <c r="P2" i="203"/>
  <c r="P10" i="203"/>
  <c r="P4" i="200"/>
  <c r="O3" i="200"/>
  <c r="P4" i="201"/>
  <c r="O3" i="201"/>
  <c r="P2" i="201"/>
  <c r="P10" i="201"/>
  <c r="P5" i="189"/>
  <c r="P5" i="190"/>
  <c r="P4" i="177"/>
  <c r="O3" i="177"/>
  <c r="P4" i="178"/>
  <c r="O3" i="178"/>
  <c r="P4" i="176"/>
  <c r="O3" i="176"/>
  <c r="P4" i="175"/>
  <c r="O3" i="175"/>
  <c r="P5" i="166"/>
  <c r="P5" i="164"/>
  <c r="P5" i="163"/>
  <c r="P5" i="162"/>
  <c r="P5" i="195"/>
  <c r="P5" i="196"/>
  <c r="P5" i="193"/>
  <c r="P5" i="194"/>
  <c r="P4" i="184"/>
  <c r="O3" i="184"/>
  <c r="P2" i="184"/>
  <c r="P10" i="184"/>
  <c r="P4" i="183"/>
  <c r="O3" i="183"/>
  <c r="P4" i="182"/>
  <c r="O3" i="182"/>
  <c r="P4" i="181"/>
  <c r="O3" i="181"/>
  <c r="P5" i="169"/>
  <c r="P5" i="170"/>
  <c r="P5" i="172"/>
  <c r="O5" i="172"/>
  <c r="P5" i="171"/>
  <c r="P4" i="156"/>
  <c r="O3" i="156"/>
  <c r="P4" i="157"/>
  <c r="O3" i="157"/>
  <c r="P4" i="158"/>
  <c r="O3" i="158"/>
  <c r="P4" i="159"/>
  <c r="O3" i="159"/>
  <c r="P5" i="202"/>
  <c r="P5" i="203"/>
  <c r="P5" i="200"/>
  <c r="P5" i="201"/>
  <c r="P4" i="189"/>
  <c r="O3" i="189"/>
  <c r="P4" i="190"/>
  <c r="O3" i="190"/>
  <c r="P2" i="190"/>
  <c r="P10" i="190"/>
  <c r="P4" i="187"/>
  <c r="O3" i="187"/>
  <c r="P4" i="188"/>
  <c r="O3" i="188"/>
  <c r="P5" i="178"/>
  <c r="P5" i="177"/>
  <c r="P5" i="175"/>
  <c r="P5" i="176"/>
  <c r="P4" i="164"/>
  <c r="O3" i="164"/>
  <c r="P4" i="166"/>
  <c r="O3" i="166"/>
  <c r="P4" i="162"/>
  <c r="O3" i="162"/>
  <c r="P4" i="163"/>
  <c r="O3" i="163"/>
  <c r="J38" i="49"/>
  <c r="P8" i="150"/>
  <c r="O7" i="150"/>
  <c r="C395" i="49"/>
  <c r="C375" i="49"/>
  <c r="C315" i="49"/>
  <c r="C295" i="49"/>
  <c r="P5" i="153"/>
  <c r="P5" i="152"/>
  <c r="P5" i="154"/>
  <c r="P5" i="155"/>
  <c r="P4" i="155"/>
  <c r="O3" i="155"/>
  <c r="P4" i="154"/>
  <c r="O3" i="154"/>
  <c r="P4" i="153"/>
  <c r="O3" i="153"/>
  <c r="P4" i="152"/>
  <c r="O3" i="152"/>
  <c r="Q29" i="52"/>
  <c r="Q29" i="130"/>
  <c r="R30" i="52"/>
  <c r="R30" i="130"/>
  <c r="P42" i="150"/>
  <c r="C25" i="49"/>
  <c r="C134" i="49"/>
  <c r="D31" i="49"/>
  <c r="O8" i="151"/>
  <c r="D30" i="49"/>
  <c r="O16" i="194"/>
  <c r="P42" i="157"/>
  <c r="P42" i="151"/>
  <c r="P42" i="195"/>
  <c r="P42" i="194"/>
  <c r="J124" i="49"/>
  <c r="J41" i="49"/>
  <c r="O6" i="151"/>
  <c r="O41" i="151"/>
  <c r="D28" i="49"/>
  <c r="O16" i="150"/>
  <c r="P6" i="150"/>
  <c r="P6" i="151"/>
  <c r="O6" i="150"/>
  <c r="O14" i="150"/>
  <c r="D32" i="49"/>
  <c r="O8" i="150"/>
  <c r="F47" i="49"/>
  <c r="P6" i="177"/>
  <c r="O8" i="178"/>
  <c r="O8" i="177"/>
  <c r="O6" i="178"/>
  <c r="P8" i="177"/>
  <c r="O7" i="177"/>
  <c r="P8" i="178"/>
  <c r="O7" i="178"/>
  <c r="P6" i="178"/>
  <c r="O6" i="177"/>
  <c r="J134" i="49"/>
  <c r="J31" i="49"/>
  <c r="P8" i="191"/>
  <c r="O7" i="191"/>
  <c r="J29" i="49"/>
  <c r="J32" i="49"/>
  <c r="P8" i="192"/>
  <c r="O7" i="192"/>
  <c r="P6" i="191"/>
  <c r="O8" i="191"/>
  <c r="J30" i="49"/>
  <c r="P6" i="192"/>
  <c r="O8" i="192"/>
  <c r="O6" i="192"/>
  <c r="J28" i="49"/>
  <c r="O6" i="191"/>
  <c r="J27" i="49"/>
  <c r="J26" i="49"/>
  <c r="O14" i="202"/>
  <c r="O41" i="202"/>
  <c r="O41" i="203"/>
  <c r="O14" i="159"/>
  <c r="O41" i="158"/>
  <c r="O8" i="155"/>
  <c r="C47" i="49"/>
  <c r="P8" i="154"/>
  <c r="O7" i="154"/>
  <c r="O6" i="154"/>
  <c r="P8" i="155"/>
  <c r="O7" i="155"/>
  <c r="P6" i="154"/>
  <c r="O8" i="154"/>
  <c r="P6" i="155"/>
  <c r="O6" i="155"/>
  <c r="C49" i="49"/>
  <c r="O8" i="200"/>
  <c r="P8" i="201"/>
  <c r="O7" i="201"/>
  <c r="P8" i="200"/>
  <c r="P6" i="200"/>
  <c r="O7" i="200"/>
  <c r="P6" i="201"/>
  <c r="O8" i="201"/>
  <c r="K38" i="49"/>
  <c r="K40" i="49"/>
  <c r="O6" i="200"/>
  <c r="O6" i="201"/>
  <c r="P41" i="208"/>
  <c r="O15" i="208"/>
  <c r="P41" i="207"/>
  <c r="O15" i="207"/>
  <c r="E4" i="207"/>
  <c r="O14" i="205"/>
  <c r="O41" i="205"/>
  <c r="P6" i="209"/>
  <c r="O8" i="209"/>
  <c r="O8" i="204"/>
  <c r="M30" i="49"/>
  <c r="O6" i="209"/>
  <c r="M27" i="49"/>
  <c r="M39" i="49"/>
  <c r="P8" i="204"/>
  <c r="O7" i="204"/>
  <c r="M134" i="49"/>
  <c r="M31" i="49"/>
  <c r="P8" i="209"/>
  <c r="O7" i="209"/>
  <c r="P6" i="204"/>
  <c r="O6" i="204"/>
  <c r="M26" i="49"/>
  <c r="M28" i="49"/>
  <c r="P8" i="212"/>
  <c r="O7" i="212"/>
  <c r="N31" i="49"/>
  <c r="O8" i="213"/>
  <c r="P6" i="213"/>
  <c r="N27" i="49"/>
  <c r="P6" i="212"/>
  <c r="P8" i="213"/>
  <c r="O7" i="213"/>
  <c r="O8" i="212"/>
  <c r="N30" i="49"/>
  <c r="O6" i="213"/>
  <c r="N26" i="49"/>
  <c r="O6" i="212"/>
  <c r="N28" i="49"/>
  <c r="O8" i="183"/>
  <c r="P6" i="184"/>
  <c r="P8" i="184"/>
  <c r="O7" i="184"/>
  <c r="H47" i="49"/>
  <c r="O6" i="184"/>
  <c r="P8" i="183"/>
  <c r="O7" i="183"/>
  <c r="O8" i="184"/>
  <c r="P6" i="183"/>
  <c r="H49" i="49"/>
  <c r="O6" i="183"/>
  <c r="P42" i="184"/>
  <c r="H125" i="49"/>
  <c r="H50" i="49"/>
  <c r="P42" i="183"/>
  <c r="K26" i="49"/>
  <c r="K27" i="49"/>
  <c r="O16" i="178"/>
  <c r="O16" i="177"/>
  <c r="F32" i="49"/>
  <c r="P8" i="168"/>
  <c r="F30" i="49"/>
  <c r="P6" i="168"/>
  <c r="P8" i="167"/>
  <c r="F134" i="49"/>
  <c r="O6" i="168"/>
  <c r="P6" i="167"/>
  <c r="O8" i="168"/>
  <c r="O8" i="167"/>
  <c r="F31" i="49"/>
  <c r="F29" i="49"/>
  <c r="O7" i="167"/>
  <c r="O7" i="168"/>
  <c r="F27" i="49"/>
  <c r="O6" i="167"/>
  <c r="F28" i="49"/>
  <c r="F26" i="49"/>
  <c r="O14" i="151"/>
  <c r="O16" i="151"/>
  <c r="O16" i="159"/>
  <c r="O16" i="158"/>
  <c r="O8" i="157"/>
  <c r="P6" i="156"/>
  <c r="P8" i="156"/>
  <c r="O7" i="156"/>
  <c r="P6" i="157"/>
  <c r="D40" i="49"/>
  <c r="O6" i="156"/>
  <c r="O6" i="157"/>
  <c r="P8" i="157"/>
  <c r="O7" i="157"/>
  <c r="O8" i="156"/>
  <c r="D38" i="49"/>
  <c r="P42" i="155"/>
  <c r="P42" i="154"/>
  <c r="K124" i="49"/>
  <c r="K41" i="49"/>
  <c r="P42" i="201"/>
  <c r="P42" i="200"/>
  <c r="O41" i="206"/>
  <c r="O14" i="206"/>
  <c r="O16" i="206"/>
  <c r="O16" i="205"/>
  <c r="O41" i="199"/>
  <c r="O14" i="199"/>
  <c r="O41" i="197"/>
  <c r="O14" i="197"/>
  <c r="O16" i="197"/>
  <c r="O16" i="199"/>
  <c r="E38" i="49"/>
  <c r="P41" i="205"/>
  <c r="O15" i="205"/>
  <c r="E4" i="205"/>
  <c r="P42" i="196"/>
  <c r="J47" i="49"/>
  <c r="D134" i="49"/>
  <c r="O8" i="130"/>
  <c r="O41" i="150"/>
  <c r="P42" i="159"/>
  <c r="P42" i="211"/>
  <c r="P42" i="210"/>
  <c r="O8" i="211"/>
  <c r="P6" i="210"/>
  <c r="P6" i="211"/>
  <c r="M38" i="49"/>
  <c r="M40" i="49"/>
  <c r="O8" i="210"/>
  <c r="O6" i="211"/>
  <c r="P8" i="210"/>
  <c r="O7" i="210"/>
  <c r="P8" i="211"/>
  <c r="O7" i="211"/>
  <c r="O6" i="210"/>
  <c r="P42" i="190"/>
  <c r="P42" i="189"/>
  <c r="P42" i="164"/>
  <c r="P42" i="166"/>
  <c r="P6" i="182"/>
  <c r="O8" i="182"/>
  <c r="O8" i="181"/>
  <c r="P8" i="181"/>
  <c r="O7" i="181"/>
  <c r="O6" i="181"/>
  <c r="P6" i="181"/>
  <c r="O6" i="182"/>
  <c r="P8" i="182"/>
  <c r="O7" i="182"/>
  <c r="O16" i="169"/>
  <c r="O16" i="170"/>
  <c r="E25" i="49"/>
  <c r="P42" i="161"/>
  <c r="P42" i="160"/>
  <c r="E123" i="49"/>
  <c r="H30" i="49"/>
  <c r="P8" i="180"/>
  <c r="O7" i="180"/>
  <c r="H32" i="49"/>
  <c r="O8" i="179"/>
  <c r="P8" i="179"/>
  <c r="O7" i="179"/>
  <c r="H26" i="49"/>
  <c r="O6" i="179"/>
  <c r="O6" i="180"/>
  <c r="H134" i="49"/>
  <c r="H31" i="49"/>
  <c r="O8" i="180"/>
  <c r="P6" i="179"/>
  <c r="P6" i="180"/>
  <c r="H28" i="49"/>
  <c r="H27" i="49"/>
  <c r="H123" i="49"/>
  <c r="H29" i="49"/>
  <c r="P42" i="180"/>
  <c r="P42" i="179"/>
  <c r="O8" i="172"/>
  <c r="P6" i="172"/>
  <c r="P6" i="171"/>
  <c r="O6" i="171"/>
  <c r="P8" i="171"/>
  <c r="O7" i="171"/>
  <c r="P8" i="172"/>
  <c r="O7" i="172"/>
  <c r="O6" i="172"/>
  <c r="O8" i="171"/>
  <c r="F49" i="49"/>
  <c r="P8" i="170"/>
  <c r="O7" i="170"/>
  <c r="O6" i="170"/>
  <c r="P6" i="170"/>
  <c r="P8" i="169"/>
  <c r="O7" i="169"/>
  <c r="O8" i="169"/>
  <c r="O6" i="169"/>
  <c r="P6" i="169"/>
  <c r="O8" i="170"/>
  <c r="P42" i="175"/>
  <c r="P42" i="176"/>
  <c r="G124" i="49"/>
  <c r="G41" i="49"/>
  <c r="O41" i="193"/>
  <c r="O14" i="193"/>
  <c r="F38" i="49"/>
  <c r="P42" i="173"/>
  <c r="G123" i="49"/>
  <c r="P42" i="174"/>
  <c r="G25" i="49"/>
  <c r="D47" i="49"/>
  <c r="D27" i="49"/>
  <c r="D26" i="49"/>
  <c r="O8" i="196"/>
  <c r="P6" i="196"/>
  <c r="P6" i="195"/>
  <c r="O6" i="196"/>
  <c r="O6" i="195"/>
  <c r="P8" i="195"/>
  <c r="O7" i="195"/>
  <c r="P8" i="196"/>
  <c r="O7" i="196"/>
  <c r="O8" i="195"/>
  <c r="P42" i="202"/>
  <c r="P42" i="203"/>
  <c r="K125" i="49"/>
  <c r="K50" i="49"/>
  <c r="K49" i="49"/>
  <c r="P6" i="175"/>
  <c r="P6" i="176"/>
  <c r="P8" i="175"/>
  <c r="O7" i="175"/>
  <c r="O6" i="175"/>
  <c r="G40" i="49"/>
  <c r="P8" i="176"/>
  <c r="O7" i="176"/>
  <c r="O8" i="176"/>
  <c r="G38" i="49"/>
  <c r="O8" i="175"/>
  <c r="O6" i="176"/>
  <c r="E46" i="49"/>
  <c r="E89" i="49"/>
  <c r="E125" i="49"/>
  <c r="I37" i="49"/>
  <c r="I97" i="49"/>
  <c r="H97" i="49"/>
  <c r="H40" i="49"/>
  <c r="H88" i="49"/>
  <c r="I46" i="49"/>
  <c r="I89" i="49"/>
  <c r="I125" i="49"/>
  <c r="O41" i="194"/>
  <c r="O14" i="194"/>
  <c r="H38" i="49"/>
  <c r="J49" i="49"/>
  <c r="O8" i="152"/>
  <c r="O6" i="153"/>
  <c r="O6" i="152"/>
  <c r="P6" i="152"/>
  <c r="P8" i="153"/>
  <c r="O7" i="153"/>
  <c r="P6" i="153"/>
  <c r="C40" i="49"/>
  <c r="O16" i="152"/>
  <c r="O8" i="153"/>
  <c r="P8" i="152"/>
  <c r="O7" i="152"/>
  <c r="I113" i="49"/>
  <c r="I114" i="49"/>
  <c r="I26" i="49"/>
  <c r="E124" i="49"/>
  <c r="E41" i="49"/>
  <c r="P42" i="163"/>
  <c r="P42" i="162"/>
  <c r="O8" i="162"/>
  <c r="O8" i="163"/>
  <c r="P6" i="162"/>
  <c r="P6" i="163"/>
  <c r="O6" i="162"/>
  <c r="P8" i="163"/>
  <c r="O7" i="163"/>
  <c r="P8" i="162"/>
  <c r="O7" i="162"/>
  <c r="E40" i="49"/>
  <c r="O6" i="163"/>
  <c r="I32" i="49"/>
  <c r="O8" i="185"/>
  <c r="P8" i="185"/>
  <c r="O7" i="185"/>
  <c r="I31" i="49"/>
  <c r="O6" i="185"/>
  <c r="O8" i="186"/>
  <c r="I134" i="49"/>
  <c r="P6" i="185"/>
  <c r="P8" i="186"/>
  <c r="O7" i="186"/>
  <c r="P6" i="186"/>
  <c r="I30" i="49"/>
  <c r="I28" i="49"/>
  <c r="O6" i="186"/>
  <c r="I123" i="49"/>
  <c r="I29" i="49"/>
  <c r="P42" i="186"/>
  <c r="P42" i="185"/>
  <c r="R30" i="152"/>
  <c r="Q30" i="152"/>
  <c r="R30" i="153"/>
  <c r="R30" i="154"/>
  <c r="R30" i="155"/>
  <c r="Q29" i="152"/>
  <c r="Q29" i="153"/>
  <c r="Q29" i="154"/>
  <c r="Q29" i="155"/>
  <c r="C26" i="49"/>
  <c r="P41" i="153"/>
  <c r="O15" i="153"/>
  <c r="C31" i="49"/>
  <c r="C27" i="49"/>
  <c r="C48" i="49"/>
  <c r="P8" i="130"/>
  <c r="O7" i="130"/>
  <c r="P8" i="52"/>
  <c r="O7" i="52"/>
  <c r="O6" i="52"/>
  <c r="O41" i="52"/>
  <c r="O8" i="52"/>
  <c r="O6" i="130"/>
  <c r="O14" i="130"/>
  <c r="C32" i="49"/>
  <c r="P6" i="52"/>
  <c r="P6" i="130"/>
  <c r="C28" i="49"/>
  <c r="O16" i="153"/>
  <c r="C30" i="49"/>
  <c r="O14" i="177"/>
  <c r="O41" i="177"/>
  <c r="O14" i="178"/>
  <c r="O41" i="178"/>
  <c r="P41" i="156"/>
  <c r="O15" i="156"/>
  <c r="P41" i="157"/>
  <c r="O15" i="157"/>
  <c r="O41" i="156"/>
  <c r="O14" i="156"/>
  <c r="P41" i="172"/>
  <c r="O15" i="172"/>
  <c r="P41" i="170"/>
  <c r="O15" i="170"/>
  <c r="P41" i="168"/>
  <c r="O15" i="168"/>
  <c r="P41" i="171"/>
  <c r="O15" i="171"/>
  <c r="P41" i="169"/>
  <c r="O15" i="169"/>
  <c r="P41" i="167"/>
  <c r="O15" i="167"/>
  <c r="O14" i="167"/>
  <c r="O41" i="167"/>
  <c r="P41" i="201"/>
  <c r="O15" i="201"/>
  <c r="P41" i="199"/>
  <c r="O15" i="199"/>
  <c r="P41" i="200"/>
  <c r="O15" i="200"/>
  <c r="P41" i="203"/>
  <c r="O15" i="203"/>
  <c r="P41" i="197"/>
  <c r="O15" i="197"/>
  <c r="E4" i="197"/>
  <c r="P41" i="202"/>
  <c r="O15" i="202"/>
  <c r="O41" i="183"/>
  <c r="O14" i="183"/>
  <c r="O41" i="212"/>
  <c r="O14" i="212"/>
  <c r="O41" i="213"/>
  <c r="O14" i="213"/>
  <c r="P41" i="210"/>
  <c r="O15" i="210"/>
  <c r="P41" i="204"/>
  <c r="O15" i="204"/>
  <c r="P41" i="209"/>
  <c r="O15" i="209"/>
  <c r="P41" i="211"/>
  <c r="O15" i="211"/>
  <c r="O14" i="201"/>
  <c r="O41" i="201"/>
  <c r="O16" i="201"/>
  <c r="O16" i="200"/>
  <c r="O16" i="154"/>
  <c r="O16" i="155"/>
  <c r="O41" i="154"/>
  <c r="O14" i="154"/>
  <c r="P41" i="152"/>
  <c r="O15" i="152"/>
  <c r="J39" i="49"/>
  <c r="J48" i="49"/>
  <c r="O16" i="192"/>
  <c r="O16" i="191"/>
  <c r="O41" i="157"/>
  <c r="O14" i="157"/>
  <c r="O16" i="156"/>
  <c r="O16" i="157"/>
  <c r="O16" i="167"/>
  <c r="O16" i="168"/>
  <c r="F39" i="49"/>
  <c r="F48" i="49"/>
  <c r="O14" i="168"/>
  <c r="O41" i="168"/>
  <c r="K48" i="49"/>
  <c r="K39" i="49"/>
  <c r="O16" i="184"/>
  <c r="O16" i="183"/>
  <c r="O14" i="184"/>
  <c r="O41" i="184"/>
  <c r="O16" i="213"/>
  <c r="O16" i="212"/>
  <c r="P41" i="213"/>
  <c r="O15" i="213"/>
  <c r="P41" i="212"/>
  <c r="O15" i="212"/>
  <c r="O16" i="209"/>
  <c r="O16" i="204"/>
  <c r="O14" i="204"/>
  <c r="O41" i="204"/>
  <c r="O41" i="209"/>
  <c r="O14" i="209"/>
  <c r="O14" i="200"/>
  <c r="O41" i="200"/>
  <c r="O41" i="155"/>
  <c r="O14" i="155"/>
  <c r="P41" i="191"/>
  <c r="O15" i="191"/>
  <c r="P41" i="195"/>
  <c r="O15" i="195"/>
  <c r="P41" i="192"/>
  <c r="O15" i="192"/>
  <c r="P41" i="194"/>
  <c r="O15" i="194"/>
  <c r="P41" i="196"/>
  <c r="O15" i="196"/>
  <c r="P41" i="193"/>
  <c r="O15" i="193"/>
  <c r="O14" i="191"/>
  <c r="O41" i="191"/>
  <c r="O41" i="192"/>
  <c r="O14" i="192"/>
  <c r="P41" i="130"/>
  <c r="O15" i="130"/>
  <c r="E4" i="193"/>
  <c r="C39" i="49"/>
  <c r="O41" i="130"/>
  <c r="O14" i="52"/>
  <c r="O16" i="52"/>
  <c r="E4" i="191"/>
  <c r="E4" i="200"/>
  <c r="E4" i="167"/>
  <c r="O16" i="130"/>
  <c r="O41" i="211"/>
  <c r="O14" i="211"/>
  <c r="O16" i="211"/>
  <c r="O16" i="210"/>
  <c r="O14" i="210"/>
  <c r="O41" i="210"/>
  <c r="O16" i="181"/>
  <c r="O16" i="182"/>
  <c r="O16" i="196"/>
  <c r="O16" i="195"/>
  <c r="P42" i="188"/>
  <c r="I124" i="49"/>
  <c r="I41" i="49"/>
  <c r="P42" i="187"/>
  <c r="O14" i="176"/>
  <c r="O41" i="176"/>
  <c r="O14" i="175"/>
  <c r="O41" i="175"/>
  <c r="O16" i="203"/>
  <c r="O16" i="202"/>
  <c r="O14" i="196"/>
  <c r="O41" i="196"/>
  <c r="P41" i="151"/>
  <c r="O15" i="151"/>
  <c r="P41" i="150"/>
  <c r="O15" i="150"/>
  <c r="E4" i="150"/>
  <c r="P41" i="159"/>
  <c r="O15" i="159"/>
  <c r="P41" i="158"/>
  <c r="O15" i="158"/>
  <c r="E4" i="158"/>
  <c r="O14" i="171"/>
  <c r="O41" i="171"/>
  <c r="O16" i="179"/>
  <c r="O16" i="180"/>
  <c r="O41" i="180"/>
  <c r="O14" i="180"/>
  <c r="P41" i="182"/>
  <c r="O15" i="182"/>
  <c r="P41" i="181"/>
  <c r="O15" i="181"/>
  <c r="P41" i="184"/>
  <c r="O15" i="184"/>
  <c r="P41" i="180"/>
  <c r="O15" i="180"/>
  <c r="P41" i="179"/>
  <c r="O15" i="179"/>
  <c r="P41" i="183"/>
  <c r="O15" i="183"/>
  <c r="E4" i="183"/>
  <c r="O14" i="182"/>
  <c r="O41" i="182"/>
  <c r="O41" i="181"/>
  <c r="O14" i="181"/>
  <c r="O6" i="190"/>
  <c r="P6" i="190"/>
  <c r="O8" i="189"/>
  <c r="O6" i="189"/>
  <c r="P6" i="189"/>
  <c r="I50" i="49"/>
  <c r="P8" i="189"/>
  <c r="O7" i="189"/>
  <c r="O8" i="190"/>
  <c r="P8" i="190"/>
  <c r="O7" i="190"/>
  <c r="I49" i="49"/>
  <c r="P42" i="182"/>
  <c r="P42" i="181"/>
  <c r="H124" i="49"/>
  <c r="H41" i="49"/>
  <c r="O8" i="187"/>
  <c r="O6" i="187"/>
  <c r="P6" i="187"/>
  <c r="O6" i="188"/>
  <c r="P6" i="188"/>
  <c r="O8" i="188"/>
  <c r="P8" i="187"/>
  <c r="O7" i="187"/>
  <c r="P8" i="188"/>
  <c r="O7" i="188"/>
  <c r="I40" i="49"/>
  <c r="E49" i="49"/>
  <c r="E47" i="49"/>
  <c r="E50" i="49"/>
  <c r="P8" i="166"/>
  <c r="O7" i="166"/>
  <c r="P8" i="164"/>
  <c r="O7" i="164"/>
  <c r="P6" i="164"/>
  <c r="O6" i="164"/>
  <c r="O8" i="164"/>
  <c r="O8" i="166"/>
  <c r="P6" i="166"/>
  <c r="O6" i="166"/>
  <c r="O16" i="175"/>
  <c r="O16" i="176"/>
  <c r="O41" i="195"/>
  <c r="O14" i="195"/>
  <c r="E4" i="195"/>
  <c r="D39" i="49"/>
  <c r="D48" i="49"/>
  <c r="O8" i="173"/>
  <c r="G134" i="49"/>
  <c r="G32" i="49"/>
  <c r="P8" i="173"/>
  <c r="O7" i="173"/>
  <c r="P8" i="174"/>
  <c r="O7" i="174"/>
  <c r="G29" i="49"/>
  <c r="G28" i="49"/>
  <c r="G26" i="49"/>
  <c r="G31" i="49"/>
  <c r="O8" i="174"/>
  <c r="G30" i="49"/>
  <c r="P6" i="174"/>
  <c r="P6" i="173"/>
  <c r="O6" i="173"/>
  <c r="G27" i="49"/>
  <c r="O6" i="174"/>
  <c r="O14" i="169"/>
  <c r="E4" i="169"/>
  <c r="O41" i="169"/>
  <c r="O41" i="170"/>
  <c r="O14" i="170"/>
  <c r="O16" i="172"/>
  <c r="O16" i="171"/>
  <c r="O41" i="172"/>
  <c r="O14" i="172"/>
  <c r="H39" i="49"/>
  <c r="H48" i="49"/>
  <c r="O41" i="179"/>
  <c r="O14" i="179"/>
  <c r="E4" i="179"/>
  <c r="P8" i="161"/>
  <c r="O7" i="161"/>
  <c r="P8" i="160"/>
  <c r="O7" i="160"/>
  <c r="E30" i="49"/>
  <c r="E31" i="49"/>
  <c r="O8" i="161"/>
  <c r="O8" i="160"/>
  <c r="O6" i="160"/>
  <c r="E28" i="49"/>
  <c r="E134" i="49"/>
  <c r="P6" i="160"/>
  <c r="E29" i="49"/>
  <c r="O6" i="161"/>
  <c r="P6" i="161"/>
  <c r="E32" i="49"/>
  <c r="E27" i="49"/>
  <c r="E26" i="49"/>
  <c r="E4" i="202"/>
  <c r="E4" i="171"/>
  <c r="O41" i="152"/>
  <c r="O14" i="152"/>
  <c r="E4" i="152"/>
  <c r="I27" i="49"/>
  <c r="I48" i="49"/>
  <c r="O14" i="153"/>
  <c r="O41" i="153"/>
  <c r="I38" i="49"/>
  <c r="I47" i="49"/>
  <c r="O16" i="162"/>
  <c r="O16" i="163"/>
  <c r="O14" i="163"/>
  <c r="O41" i="163"/>
  <c r="O41" i="162"/>
  <c r="O14" i="162"/>
  <c r="O14" i="186"/>
  <c r="O41" i="186"/>
  <c r="O14" i="185"/>
  <c r="O41" i="185"/>
  <c r="P41" i="190"/>
  <c r="O15" i="190"/>
  <c r="P41" i="185"/>
  <c r="O15" i="185"/>
  <c r="P41" i="186"/>
  <c r="O15" i="186"/>
  <c r="P41" i="187"/>
  <c r="O15" i="187"/>
  <c r="P41" i="188"/>
  <c r="O15" i="188"/>
  <c r="P41" i="189"/>
  <c r="O15" i="189"/>
  <c r="O16" i="186"/>
  <c r="O16" i="185"/>
  <c r="P41" i="155"/>
  <c r="O15" i="155"/>
  <c r="E4" i="156"/>
  <c r="P41" i="52"/>
  <c r="O15" i="52"/>
  <c r="P41" i="154"/>
  <c r="O15" i="154"/>
  <c r="E4" i="154"/>
  <c r="E4" i="204"/>
  <c r="E4" i="212"/>
  <c r="E4" i="52"/>
  <c r="I39" i="49"/>
  <c r="E4" i="210"/>
  <c r="E39" i="49"/>
  <c r="E48" i="49"/>
  <c r="O41" i="160"/>
  <c r="O14" i="160"/>
  <c r="G39" i="49"/>
  <c r="G48" i="49"/>
  <c r="O16" i="173"/>
  <c r="O16" i="174"/>
  <c r="O16" i="166"/>
  <c r="O16" i="164"/>
  <c r="O41" i="188"/>
  <c r="O14" i="188"/>
  <c r="O14" i="187"/>
  <c r="O41" i="187"/>
  <c r="O14" i="189"/>
  <c r="O41" i="189"/>
  <c r="E4" i="181"/>
  <c r="P41" i="160"/>
  <c r="O15" i="160"/>
  <c r="P41" i="162"/>
  <c r="O15" i="162"/>
  <c r="E4" i="162"/>
  <c r="P41" i="161"/>
  <c r="O15" i="161"/>
  <c r="P41" i="163"/>
  <c r="O15" i="163"/>
  <c r="O41" i="161"/>
  <c r="O14" i="161"/>
  <c r="O16" i="160"/>
  <c r="O16" i="161"/>
  <c r="O14" i="174"/>
  <c r="O41" i="174"/>
  <c r="O14" i="173"/>
  <c r="O41" i="173"/>
  <c r="P41" i="177"/>
  <c r="O15" i="177"/>
  <c r="E4" i="177"/>
  <c r="P41" i="173"/>
  <c r="O15" i="173"/>
  <c r="P41" i="176"/>
  <c r="O15" i="176"/>
  <c r="P41" i="174"/>
  <c r="O15" i="174"/>
  <c r="P41" i="175"/>
  <c r="O15" i="175"/>
  <c r="E4" i="175"/>
  <c r="P41" i="178"/>
  <c r="O15" i="178"/>
  <c r="O14" i="166"/>
  <c r="O41" i="166"/>
  <c r="O41" i="164"/>
  <c r="O14" i="164"/>
  <c r="P41" i="166"/>
  <c r="O15" i="166"/>
  <c r="P41" i="164"/>
  <c r="O15" i="164"/>
  <c r="O16" i="188"/>
  <c r="O16" i="187"/>
  <c r="E4" i="187"/>
  <c r="O16" i="189"/>
  <c r="O16" i="190"/>
  <c r="O14" i="190"/>
  <c r="O41" i="190"/>
  <c r="E4" i="185"/>
  <c r="E4" i="189"/>
  <c r="E4" i="164"/>
  <c r="E4" i="173"/>
  <c r="E4" i="160"/>
</calcChain>
</file>

<file path=xl/comments1.xml><?xml version="1.0" encoding="utf-8"?>
<comments xmlns="http://schemas.openxmlformats.org/spreadsheetml/2006/main">
  <authors>
    <author>sallen</author>
  </authors>
  <commentList>
    <comment ref="B130" authorId="0">
      <text>
        <r>
          <rPr>
            <sz val="10"/>
            <color indexed="81"/>
            <rFont val="Tahoma"/>
            <family val="2"/>
          </rPr>
          <t>WOC
14 for 3/4"
28 for 1-3"
32 for 4"
36 for 6"</t>
        </r>
      </text>
    </comment>
  </commentList>
</comments>
</file>

<file path=xl/sharedStrings.xml><?xml version="1.0" encoding="utf-8"?>
<sst xmlns="http://schemas.openxmlformats.org/spreadsheetml/2006/main" count="2132" uniqueCount="179">
  <si>
    <t>Selection Inputs</t>
  </si>
  <si>
    <t>Conversions</t>
  </si>
  <si>
    <t>From</t>
  </si>
  <si>
    <t>To</t>
  </si>
  <si>
    <t>l/m</t>
  </si>
  <si>
    <t>GPM</t>
  </si>
  <si>
    <t>Kw</t>
  </si>
  <si>
    <t>HP</t>
  </si>
  <si>
    <t>Bar</t>
  </si>
  <si>
    <t>USGPM</t>
  </si>
  <si>
    <t>Nm</t>
  </si>
  <si>
    <t>lb/ft</t>
  </si>
  <si>
    <t>cP</t>
  </si>
  <si>
    <t>M3/Hr</t>
  </si>
  <si>
    <t>lb/in</t>
  </si>
  <si>
    <t>l/s</t>
  </si>
  <si>
    <t>l/hr</t>
  </si>
  <si>
    <t>m</t>
  </si>
  <si>
    <t>ft</t>
  </si>
  <si>
    <t>m/s</t>
  </si>
  <si>
    <t>ft/min</t>
  </si>
  <si>
    <t>PSI</t>
  </si>
  <si>
    <t>kPa</t>
  </si>
  <si>
    <t>Pas</t>
  </si>
  <si>
    <t>MPa</t>
  </si>
  <si>
    <t>mPas</t>
  </si>
  <si>
    <t>Displacement - l/rev</t>
  </si>
  <si>
    <t>Port Size - inch</t>
  </si>
  <si>
    <t>Port Size - mm</t>
  </si>
  <si>
    <t>RPM Required</t>
  </si>
  <si>
    <t>Viscosity multiplier - Flow</t>
  </si>
  <si>
    <t>Margin</t>
  </si>
  <si>
    <t>Max shaft torque</t>
  </si>
  <si>
    <t>Max Speed</t>
  </si>
  <si>
    <t>Max Pressure</t>
  </si>
  <si>
    <t>chamber area</t>
  </si>
  <si>
    <t>chamber depth</t>
  </si>
  <si>
    <t>port area</t>
  </si>
  <si>
    <t>port length (inc WOC)</t>
  </si>
  <si>
    <t>rotor area (multilobe)</t>
  </si>
  <si>
    <t>Tip Speed  -  m/s</t>
  </si>
  <si>
    <t>Nominal Rotor Diameter</t>
  </si>
  <si>
    <t>Port dia std</t>
  </si>
  <si>
    <t>Port area std</t>
  </si>
  <si>
    <t>RI area</t>
  </si>
  <si>
    <t>f</t>
  </si>
  <si>
    <t>k</t>
  </si>
  <si>
    <t>Water power</t>
  </si>
  <si>
    <t>Viscous power</t>
  </si>
  <si>
    <t>Total power</t>
  </si>
  <si>
    <t>D/d^2</t>
  </si>
  <si>
    <t>A</t>
  </si>
  <si>
    <t>B</t>
  </si>
  <si>
    <t>Max speed at max pressure</t>
  </si>
  <si>
    <t>Max pressure at max speed</t>
  </si>
  <si>
    <t>Corner cut off</t>
  </si>
  <si>
    <t>RPM Required Class B</t>
  </si>
  <si>
    <t>RPM Required Class C</t>
  </si>
  <si>
    <t>RPM Required Class A</t>
  </si>
  <si>
    <t>D</t>
  </si>
  <si>
    <t>C</t>
  </si>
  <si>
    <t>Slip Class A</t>
  </si>
  <si>
    <t>Slip Class B</t>
  </si>
  <si>
    <t>Slip Class C</t>
  </si>
  <si>
    <t>NPSHr Class A</t>
  </si>
  <si>
    <t>NPSHr Class B</t>
  </si>
  <si>
    <t>NPSHr Class C</t>
  </si>
  <si>
    <t>NPSHr RI Class A</t>
  </si>
  <si>
    <t>NPSHr RI Class B</t>
  </si>
  <si>
    <t>NPSHr RI Class C</t>
  </si>
  <si>
    <t>50=B</t>
  </si>
  <si>
    <t>50=D</t>
  </si>
  <si>
    <t>Base NPSHr Class A</t>
  </si>
  <si>
    <t>Base NPSHr Class B</t>
  </si>
  <si>
    <t>Base NPSHr Class C</t>
  </si>
  <si>
    <t>Torque required Nm</t>
  </si>
  <si>
    <t>Total Power - kw</t>
  </si>
  <si>
    <t>Hold up - lobe    litre</t>
  </si>
  <si>
    <t>Class B 1 cP slip at min bar</t>
  </si>
  <si>
    <t>Class B 1 cP slip at max bar</t>
  </si>
  <si>
    <t>Class B 1 cP Additional slip</t>
  </si>
  <si>
    <t>Class C 1 cP slip at min bar</t>
  </si>
  <si>
    <t>Class C 1 cP slip at max bar</t>
  </si>
  <si>
    <t>Class C 1 cP Additional slip</t>
  </si>
  <si>
    <t>Flow variation 1 cP at 1 Bar</t>
  </si>
  <si>
    <t>Flow variation 1 cP at max Bar</t>
  </si>
  <si>
    <t>gpm</t>
  </si>
  <si>
    <t>usgpm</t>
  </si>
  <si>
    <t>psi</t>
  </si>
  <si>
    <t>E</t>
  </si>
  <si>
    <t>F</t>
  </si>
  <si>
    <t>G</t>
  </si>
  <si>
    <t>H</t>
  </si>
  <si>
    <t>Maximum pressure</t>
  </si>
  <si>
    <t>Operating Pressure</t>
  </si>
  <si>
    <t>Zero pressure</t>
  </si>
  <si>
    <t>Graph</t>
  </si>
  <si>
    <t>Return to Selector</t>
  </si>
  <si>
    <t>I</t>
  </si>
  <si>
    <t>J</t>
  </si>
  <si>
    <t>Data Entry Points</t>
  </si>
  <si>
    <t>Flow at max speed</t>
  </si>
  <si>
    <t>Duty</t>
  </si>
  <si>
    <t>Slip at X Bar</t>
  </si>
  <si>
    <t>Dead head at X Bar</t>
  </si>
  <si>
    <t>Display splits</t>
  </si>
  <si>
    <t>Graph - Duty</t>
  </si>
  <si>
    <t>Possible RPM variation ±</t>
  </si>
  <si>
    <t>Expected flow variation - 1cP</t>
  </si>
  <si>
    <t>Expected flow variation - Visc related</t>
  </si>
  <si>
    <t>Possible speed variation - rpm ±</t>
  </si>
  <si>
    <t>Slip at max pressure</t>
  </si>
  <si>
    <t>Slip at max speed</t>
  </si>
  <si>
    <t>Class B Slip at max pressure</t>
  </si>
  <si>
    <t>Additional slip Class B at max speed</t>
  </si>
  <si>
    <t>Class B Slip at max speed</t>
  </si>
  <si>
    <t>Class C Slip at max pressure</t>
  </si>
  <si>
    <t>Additional slip Class C at max speed</t>
  </si>
  <si>
    <t>Class C Slip at max speed</t>
  </si>
  <si>
    <t>Graph - Typical Performance</t>
  </si>
  <si>
    <t>Ref</t>
  </si>
  <si>
    <t>Issue</t>
  </si>
  <si>
    <t>rpm</t>
  </si>
  <si>
    <t>Duty Point</t>
  </si>
  <si>
    <t>Flowrate</t>
  </si>
  <si>
    <t>Pressure</t>
  </si>
  <si>
    <t>Viscosity</t>
  </si>
  <si>
    <t>Allowance required for RV - l/m</t>
  </si>
  <si>
    <t>RV Flow variation 1 cP at max Bar</t>
  </si>
  <si>
    <t>RV Expected flow variation - 1cP</t>
  </si>
  <si>
    <t>RV Expected flow variation - Visc related</t>
  </si>
  <si>
    <t>Duty req</t>
  </si>
  <si>
    <t>Max speed</t>
  </si>
  <si>
    <t>Power at max speed</t>
  </si>
  <si>
    <t>Class A</t>
  </si>
  <si>
    <t>2nd axis</t>
  </si>
  <si>
    <t>hp</t>
  </si>
  <si>
    <t>1 / 15</t>
  </si>
  <si>
    <t>3 / 45</t>
  </si>
  <si>
    <t>5 / 75</t>
  </si>
  <si>
    <t>7 / 105</t>
  </si>
  <si>
    <t>10 / 150</t>
  </si>
  <si>
    <t>12 / 175</t>
  </si>
  <si>
    <t>SSU</t>
  </si>
  <si>
    <t>2 / 30</t>
  </si>
  <si>
    <t>4 / 60</t>
  </si>
  <si>
    <t>8 / 120</t>
  </si>
  <si>
    <t>6 / 90</t>
  </si>
  <si>
    <t>Class B</t>
  </si>
  <si>
    <t>Additional Slip</t>
  </si>
  <si>
    <t>Class C</t>
  </si>
  <si>
    <t>m³/hr</t>
  </si>
  <si>
    <t>Yes</t>
  </si>
  <si>
    <t>No</t>
  </si>
  <si>
    <t>ISF Corr</t>
  </si>
  <si>
    <t>RV Flow variation 1 cP at 0 Bar</t>
  </si>
  <si>
    <t>RV Slip</t>
  </si>
  <si>
    <t>Improved Surface Finish</t>
  </si>
  <si>
    <t>Relief Valve</t>
  </si>
  <si>
    <t>D.  10/13</t>
  </si>
  <si>
    <t>MP</t>
  </si>
  <si>
    <t>CP</t>
  </si>
  <si>
    <t>Rotor Class  /   Temperature Limit</t>
  </si>
  <si>
    <t>A   /   70°C  (160°F)</t>
  </si>
  <si>
    <t>B   /   100°C  (210°F)</t>
  </si>
  <si>
    <t>D   /   180°C  (350°F)</t>
  </si>
  <si>
    <t>C   /   150°C  (300°F)</t>
  </si>
  <si>
    <t>A0015</t>
  </si>
  <si>
    <t>A0025</t>
  </si>
  <si>
    <t>A0030</t>
  </si>
  <si>
    <t>B0060</t>
  </si>
  <si>
    <t>B0100</t>
  </si>
  <si>
    <t>C0200</t>
  </si>
  <si>
    <t>C0300</t>
  </si>
  <si>
    <t>D0500</t>
  </si>
  <si>
    <t>D0700</t>
  </si>
  <si>
    <t>E0950</t>
  </si>
  <si>
    <t>E1400</t>
  </si>
  <si>
    <t>E1400H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</si>
</sst>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0.0"/>
    <numFmt numFmtId="167" formatCode="dd/mm/yyyy;@"/>
    <numFmt numFmtId="168" formatCode="[$-809]dd\ mmmm\ yyyy;@"/>
  </numFmts>
  <fonts count="15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sz val="10"/>
      <color indexed="81"/>
      <name val="Tahoma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  <fill>
      <patternFill patternType="darkUp">
        <bgColor theme="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165" fontId="0" fillId="3" borderId="1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1" fontId="0" fillId="3" borderId="1" xfId="0" applyNumberFormat="1" applyFill="1" applyBorder="1" applyAlignment="1" applyProtection="1">
      <alignment horizontal="center"/>
      <protection hidden="1"/>
    </xf>
    <xf numFmtId="0" fontId="0" fillId="4" borderId="2" xfId="0" applyFill="1" applyBorder="1"/>
    <xf numFmtId="0" fontId="0" fillId="5" borderId="2" xfId="0" applyFill="1" applyBorder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6" borderId="1" xfId="0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0" fillId="7" borderId="2" xfId="0" applyFill="1" applyBorder="1"/>
    <xf numFmtId="0" fontId="0" fillId="0" borderId="1" xfId="0" applyBorder="1"/>
    <xf numFmtId="0" fontId="0" fillId="6" borderId="1" xfId="0" applyFill="1" applyBorder="1" applyProtection="1">
      <protection hidden="1"/>
    </xf>
    <xf numFmtId="0" fontId="0" fillId="2" borderId="0" xfId="0" applyFill="1" applyAlignment="1">
      <alignment horizontal="left"/>
    </xf>
    <xf numFmtId="1" fontId="0" fillId="2" borderId="0" xfId="0" applyNumberFormat="1" applyFill="1" applyProtection="1">
      <protection hidden="1"/>
    </xf>
    <xf numFmtId="0" fontId="0" fillId="8" borderId="1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166" fontId="0" fillId="3" borderId="1" xfId="0" applyNumberFormat="1" applyFill="1" applyBorder="1" applyAlignment="1" applyProtection="1">
      <alignment horizontal="center"/>
      <protection hidden="1"/>
    </xf>
    <xf numFmtId="0" fontId="0" fillId="7" borderId="8" xfId="0" applyFill="1" applyBorder="1"/>
    <xf numFmtId="0" fontId="0" fillId="2" borderId="1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9" borderId="1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hidden="1"/>
    </xf>
    <xf numFmtId="165" fontId="0" fillId="0" borderId="1" xfId="0" applyNumberFormat="1" applyFill="1" applyBorder="1" applyAlignment="1" applyProtection="1">
      <alignment horizontal="center"/>
      <protection hidden="1"/>
    </xf>
    <xf numFmtId="2" fontId="0" fillId="0" borderId="1" xfId="0" applyNumberForma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" fontId="0" fillId="3" borderId="0" xfId="0" quotePrefix="1" applyNumberFormat="1" applyFill="1" applyAlignment="1">
      <alignment horizontal="center" vertical="center"/>
    </xf>
    <xf numFmtId="0" fontId="2" fillId="2" borderId="0" xfId="1" applyFill="1" applyAlignment="1" applyProtection="1">
      <alignment vertical="center"/>
    </xf>
    <xf numFmtId="0" fontId="5" fillId="2" borderId="0" xfId="0" applyFont="1" applyFill="1"/>
    <xf numFmtId="16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Border="1" applyAlignment="1" applyProtection="1">
      <alignment horizontal="center"/>
      <protection hidden="1"/>
    </xf>
    <xf numFmtId="165" fontId="0" fillId="3" borderId="0" xfId="0" applyNumberFormat="1" applyFill="1" applyBorder="1" applyAlignment="1" applyProtection="1">
      <alignment horizontal="center"/>
      <protection hidden="1"/>
    </xf>
    <xf numFmtId="166" fontId="0" fillId="3" borderId="0" xfId="0" applyNumberFormat="1" applyFill="1" applyBorder="1" applyAlignment="1" applyProtection="1">
      <alignment horizontal="center"/>
      <protection hidden="1"/>
    </xf>
    <xf numFmtId="2" fontId="0" fillId="3" borderId="0" xfId="0" applyNumberFormat="1" applyFill="1" applyBorder="1" applyAlignment="1" applyProtection="1">
      <alignment horizontal="center"/>
      <protection hidden="1"/>
    </xf>
    <xf numFmtId="1" fontId="0" fillId="3" borderId="0" xfId="0" applyNumberFormat="1" applyFill="1" applyBorder="1" applyAlignment="1" applyProtection="1">
      <alignment horizontal="center"/>
      <protection hidden="1"/>
    </xf>
    <xf numFmtId="165" fontId="0" fillId="0" borderId="0" xfId="0" applyNumberFormat="1" applyFill="1" applyBorder="1" applyAlignment="1" applyProtection="1">
      <alignment horizontal="center"/>
      <protection hidden="1"/>
    </xf>
    <xf numFmtId="1" fontId="0" fillId="10" borderId="1" xfId="0" applyNumberFormat="1" applyFill="1" applyBorder="1" applyAlignment="1" applyProtection="1">
      <alignment horizontal="center"/>
      <protection hidden="1"/>
    </xf>
    <xf numFmtId="165" fontId="0" fillId="0" borderId="1" xfId="0" applyNumberFormat="1" applyBorder="1"/>
    <xf numFmtId="2" fontId="0" fillId="0" borderId="1" xfId="0" applyNumberFormat="1" applyFill="1" applyBorder="1"/>
    <xf numFmtId="0" fontId="0" fillId="11" borderId="1" xfId="0" applyFill="1" applyBorder="1" applyAlignment="1" applyProtection="1">
      <alignment horizontal="center"/>
      <protection hidden="1"/>
    </xf>
    <xf numFmtId="0" fontId="0" fillId="11" borderId="1" xfId="0" applyFill="1" applyBorder="1"/>
    <xf numFmtId="0" fontId="10" fillId="2" borderId="0" xfId="0" applyFont="1" applyFill="1" applyAlignment="1">
      <alignment horizontal="left"/>
    </xf>
    <xf numFmtId="167" fontId="0" fillId="3" borderId="0" xfId="0" applyNumberForma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 vertical="center"/>
      <protection locked="0"/>
    </xf>
    <xf numFmtId="0" fontId="9" fillId="12" borderId="7" xfId="0" applyFont="1" applyFill="1" applyBorder="1" applyAlignment="1" applyProtection="1">
      <alignment horizontal="center" vertical="center"/>
      <protection locked="0"/>
    </xf>
    <xf numFmtId="0" fontId="1" fillId="12" borderId="31" xfId="0" applyFont="1" applyFill="1" applyBorder="1" applyAlignment="1" applyProtection="1">
      <alignment horizontal="center" vertical="center"/>
      <protection locked="0"/>
    </xf>
    <xf numFmtId="0" fontId="1" fillId="12" borderId="21" xfId="0" applyFont="1" applyFill="1" applyBorder="1" applyAlignment="1" applyProtection="1">
      <alignment horizontal="center" vertical="center"/>
      <protection locked="0"/>
    </xf>
    <xf numFmtId="0" fontId="1" fillId="12" borderId="32" xfId="0" applyFont="1" applyFill="1" applyBorder="1" applyAlignment="1" applyProtection="1">
      <alignment horizontal="center" vertical="center"/>
      <protection locked="0"/>
    </xf>
    <xf numFmtId="0" fontId="0" fillId="14" borderId="25" xfId="0" applyFill="1" applyBorder="1" applyAlignment="1">
      <alignment vertical="center"/>
    </xf>
    <xf numFmtId="0" fontId="0" fillId="14" borderId="8" xfId="0" applyFill="1" applyBorder="1" applyAlignment="1">
      <alignment horizontal="left" vertical="center"/>
    </xf>
    <xf numFmtId="12" fontId="0" fillId="14" borderId="1" xfId="0" applyNumberFormat="1" applyFill="1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/>
      <protection hidden="1"/>
    </xf>
    <xf numFmtId="0" fontId="0" fillId="14" borderId="8" xfId="0" applyFill="1" applyBorder="1" applyAlignment="1">
      <alignment vertical="center"/>
    </xf>
    <xf numFmtId="0" fontId="1" fillId="14" borderId="27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Continuous" vertical="center"/>
    </xf>
    <xf numFmtId="0" fontId="1" fillId="14" borderId="15" xfId="0" applyFont="1" applyFill="1" applyBorder="1" applyAlignment="1">
      <alignment horizontal="centerContinuous" vertical="center"/>
    </xf>
    <xf numFmtId="0" fontId="1" fillId="14" borderId="16" xfId="0" applyFont="1" applyFill="1" applyBorder="1" applyAlignment="1">
      <alignment horizontal="centerContinuous" vertical="center"/>
    </xf>
    <xf numFmtId="0" fontId="0" fillId="14" borderId="17" xfId="0" applyFill="1" applyBorder="1" applyAlignment="1">
      <alignment horizontal="center" vertical="center"/>
    </xf>
    <xf numFmtId="2" fontId="0" fillId="14" borderId="6" xfId="0" applyNumberFormat="1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4" borderId="7" xfId="0" applyFill="1" applyBorder="1" applyAlignment="1" applyProtection="1">
      <alignment horizontal="center" vertical="center"/>
      <protection hidden="1"/>
    </xf>
    <xf numFmtId="0" fontId="0" fillId="14" borderId="21" xfId="0" applyFill="1" applyBorder="1" applyAlignment="1">
      <alignment horizontal="center" vertical="center"/>
    </xf>
    <xf numFmtId="0" fontId="0" fillId="14" borderId="26" xfId="0" applyFill="1" applyBorder="1" applyAlignment="1">
      <alignment vertical="center"/>
    </xf>
    <xf numFmtId="0" fontId="0" fillId="14" borderId="24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0" fontId="1" fillId="12" borderId="7" xfId="0" applyFont="1" applyFill="1" applyBorder="1" applyAlignment="1" applyProtection="1">
      <alignment horizontal="center" vertical="center"/>
      <protection locked="0"/>
    </xf>
    <xf numFmtId="0" fontId="0" fillId="14" borderId="7" xfId="0" applyFill="1" applyBorder="1" applyAlignment="1">
      <alignment horizontal="center" vertical="center"/>
    </xf>
    <xf numFmtId="0" fontId="0" fillId="14" borderId="40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1" fillId="12" borderId="2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 applyBorder="1"/>
    <xf numFmtId="0" fontId="0" fillId="14" borderId="37" xfId="0" applyFill="1" applyBorder="1" applyAlignment="1">
      <alignment vertical="center"/>
    </xf>
    <xf numFmtId="0" fontId="0" fillId="14" borderId="26" xfId="0" applyFill="1" applyBorder="1" applyAlignment="1">
      <alignment horizontal="left" vertical="center"/>
    </xf>
    <xf numFmtId="0" fontId="0" fillId="14" borderId="2" xfId="0" applyFill="1" applyBorder="1" applyAlignment="1">
      <alignment vertical="center"/>
    </xf>
    <xf numFmtId="0" fontId="1" fillId="14" borderId="2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11" borderId="23" xfId="0" applyFill="1" applyBorder="1" applyAlignment="1" applyProtection="1">
      <alignment horizontal="center" vertical="center"/>
      <protection hidden="1"/>
    </xf>
    <xf numFmtId="2" fontId="0" fillId="11" borderId="6" xfId="0" applyNumberFormat="1" applyFill="1" applyBorder="1" applyAlignment="1" applyProtection="1">
      <alignment horizontal="center" vertical="center"/>
      <protection hidden="1"/>
    </xf>
    <xf numFmtId="2" fontId="0" fillId="11" borderId="1" xfId="0" applyNumberFormat="1" applyFill="1" applyBorder="1" applyAlignment="1" applyProtection="1">
      <alignment horizontal="center" vertical="center"/>
      <protection hidden="1"/>
    </xf>
    <xf numFmtId="2" fontId="0" fillId="11" borderId="7" xfId="0" applyNumberFormat="1" applyFill="1" applyBorder="1" applyAlignment="1" applyProtection="1">
      <alignment horizontal="center" vertical="center"/>
      <protection hidden="1"/>
    </xf>
    <xf numFmtId="166" fontId="0" fillId="11" borderId="6" xfId="0" applyNumberFormat="1" applyFill="1" applyBorder="1" applyAlignment="1" applyProtection="1">
      <alignment horizontal="center" vertical="center"/>
      <protection hidden="1"/>
    </xf>
    <xf numFmtId="166" fontId="0" fillId="11" borderId="1" xfId="0" applyNumberFormat="1" applyFill="1" applyBorder="1" applyAlignment="1" applyProtection="1">
      <alignment horizontal="center" vertical="center"/>
      <protection hidden="1"/>
    </xf>
    <xf numFmtId="166" fontId="0" fillId="11" borderId="7" xfId="0" applyNumberFormat="1" applyFill="1" applyBorder="1" applyAlignment="1" applyProtection="1">
      <alignment horizontal="center" vertical="center"/>
      <protection hidden="1"/>
    </xf>
    <xf numFmtId="165" fontId="0" fillId="11" borderId="18" xfId="0" applyNumberFormat="1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horizontal="center" vertical="center"/>
      <protection hidden="1"/>
    </xf>
    <xf numFmtId="164" fontId="0" fillId="11" borderId="7" xfId="0" applyNumberFormat="1" applyFill="1" applyBorder="1" applyAlignment="1" applyProtection="1">
      <alignment horizontal="center" vertical="center"/>
      <protection hidden="1"/>
    </xf>
    <xf numFmtId="2" fontId="0" fillId="11" borderId="18" xfId="0" applyNumberFormat="1" applyFill="1" applyBorder="1" applyAlignment="1" applyProtection="1">
      <alignment horizontal="center" vertical="center"/>
      <protection hidden="1"/>
    </xf>
    <xf numFmtId="1" fontId="0" fillId="11" borderId="7" xfId="0" applyNumberFormat="1" applyFill="1" applyBorder="1" applyAlignment="1" applyProtection="1">
      <alignment horizontal="center" vertical="center"/>
      <protection hidden="1"/>
    </xf>
    <xf numFmtId="1" fontId="0" fillId="11" borderId="23" xfId="0" applyNumberFormat="1" applyFill="1" applyBorder="1" applyAlignment="1" applyProtection="1">
      <alignment horizontal="center" vertical="center"/>
      <protection hidden="1"/>
    </xf>
    <xf numFmtId="0" fontId="0" fillId="14" borderId="34" xfId="0" applyFill="1" applyBorder="1" applyAlignment="1">
      <alignment vertical="center"/>
    </xf>
    <xf numFmtId="1" fontId="0" fillId="11" borderId="6" xfId="0" applyNumberFormat="1" applyFill="1" applyBorder="1" applyAlignment="1">
      <alignment horizontal="center" vertical="center"/>
    </xf>
    <xf numFmtId="1" fontId="0" fillId="11" borderId="7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 applyProtection="1">
      <alignment horizontal="center"/>
      <protection hidden="1"/>
    </xf>
    <xf numFmtId="0" fontId="0" fillId="14" borderId="42" xfId="0" applyFill="1" applyBorder="1" applyAlignment="1">
      <alignment vertical="center"/>
    </xf>
    <xf numFmtId="0" fontId="12" fillId="2" borderId="0" xfId="0" applyFont="1" applyFill="1" applyBorder="1"/>
    <xf numFmtId="0" fontId="0" fillId="2" borderId="0" xfId="0" applyFont="1" applyFill="1" applyBorder="1"/>
    <xf numFmtId="0" fontId="0" fillId="13" borderId="0" xfId="0" applyFill="1" applyProtection="1">
      <protection hidden="1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0" fillId="14" borderId="43" xfId="0" applyFill="1" applyBorder="1" applyAlignment="1">
      <alignment vertical="center"/>
    </xf>
    <xf numFmtId="0" fontId="0" fillId="2" borderId="0" xfId="0" applyFill="1" applyBorder="1" applyAlignment="1" applyProtection="1">
      <alignment horizontal="center"/>
      <protection hidden="1"/>
    </xf>
    <xf numFmtId="2" fontId="0" fillId="14" borderId="1" xfId="0" applyNumberFormat="1" applyFill="1" applyBorder="1" applyAlignment="1" applyProtection="1">
      <alignment horizontal="center" vertical="center"/>
      <protection hidden="1"/>
    </xf>
    <xf numFmtId="2" fontId="0" fillId="14" borderId="7" xfId="0" applyNumberForma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center" vertical="center"/>
    </xf>
    <xf numFmtId="0" fontId="12" fillId="0" borderId="0" xfId="0" applyFont="1"/>
    <xf numFmtId="1" fontId="0" fillId="11" borderId="3" xfId="0" applyNumberFormat="1" applyFill="1" applyBorder="1" applyAlignment="1" applyProtection="1">
      <alignment horizontal="center" vertical="center"/>
      <protection hidden="1"/>
    </xf>
    <xf numFmtId="1" fontId="0" fillId="11" borderId="4" xfId="0" applyNumberFormat="1" applyFill="1" applyBorder="1" applyAlignment="1" applyProtection="1">
      <alignment horizontal="center" vertical="center"/>
      <protection hidden="1"/>
    </xf>
    <xf numFmtId="1" fontId="0" fillId="11" borderId="5" xfId="0" applyNumberFormat="1" applyFill="1" applyBorder="1" applyAlignment="1" applyProtection="1">
      <alignment horizontal="center" vertical="center"/>
      <protection hidden="1"/>
    </xf>
    <xf numFmtId="0" fontId="10" fillId="15" borderId="1" xfId="0" applyFont="1" applyFill="1" applyBorder="1"/>
    <xf numFmtId="1" fontId="0" fillId="11" borderId="1" xfId="0" applyNumberForma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14" fillId="12" borderId="3" xfId="1" applyFont="1" applyFill="1" applyBorder="1" applyAlignment="1" applyProtection="1">
      <alignment horizontal="center" vertical="center"/>
      <protection locked="0"/>
    </xf>
    <xf numFmtId="0" fontId="14" fillId="12" borderId="4" xfId="1" applyFont="1" applyFill="1" applyBorder="1" applyAlignment="1" applyProtection="1">
      <alignment horizontal="center" vertical="center"/>
      <protection locked="0"/>
    </xf>
    <xf numFmtId="0" fontId="14" fillId="12" borderId="22" xfId="1" applyFont="1" applyFill="1" applyBorder="1" applyAlignment="1" applyProtection="1">
      <alignment horizontal="center" vertical="center"/>
      <protection locked="0"/>
    </xf>
    <xf numFmtId="0" fontId="14" fillId="12" borderId="10" xfId="1" applyFont="1" applyFill="1" applyBorder="1" applyAlignment="1" applyProtection="1">
      <alignment horizontal="center" vertical="center"/>
      <protection locked="0"/>
    </xf>
    <xf numFmtId="0" fontId="14" fillId="12" borderId="23" xfId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Protection="1">
      <protection hidden="1"/>
    </xf>
    <xf numFmtId="0" fontId="12" fillId="0" borderId="0" xfId="0" applyFont="1" applyBorder="1"/>
    <xf numFmtId="1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166" fontId="1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2" fontId="12" fillId="3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1" fontId="0" fillId="2" borderId="0" xfId="0" applyNumberFormat="1" applyFill="1" applyBorder="1" applyProtection="1">
      <protection hidden="1"/>
    </xf>
    <xf numFmtId="0" fontId="12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" fontId="0" fillId="16" borderId="35" xfId="0" applyNumberFormat="1" applyFill="1" applyBorder="1" applyAlignment="1">
      <alignment horizontal="center" vertical="center"/>
    </xf>
    <xf numFmtId="1" fontId="0" fillId="16" borderId="40" xfId="0" applyNumberFormat="1" applyFill="1" applyBorder="1" applyAlignment="1">
      <alignment horizontal="center" vertical="center"/>
    </xf>
    <xf numFmtId="0" fontId="10" fillId="14" borderId="26" xfId="0" applyFont="1" applyFill="1" applyBorder="1" applyAlignment="1">
      <alignment vertical="center"/>
    </xf>
    <xf numFmtId="168" fontId="0" fillId="14" borderId="11" xfId="0" applyNumberFormat="1" applyFill="1" applyBorder="1" applyAlignment="1">
      <alignment horizontal="center" vertical="center"/>
    </xf>
    <xf numFmtId="1" fontId="0" fillId="11" borderId="41" xfId="0" applyNumberFormat="1" applyFill="1" applyBorder="1" applyAlignment="1">
      <alignment horizontal="center" vertical="center"/>
    </xf>
    <xf numFmtId="1" fontId="0" fillId="11" borderId="35" xfId="0" applyNumberFormat="1" applyFill="1" applyBorder="1" applyAlignment="1">
      <alignment horizontal="center" vertical="center"/>
    </xf>
    <xf numFmtId="0" fontId="14" fillId="12" borderId="5" xfId="1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>
      <alignment horizontal="center"/>
    </xf>
    <xf numFmtId="166" fontId="12" fillId="11" borderId="0" xfId="0" applyNumberFormat="1" applyFont="1" applyFill="1" applyBorder="1" applyAlignment="1">
      <alignment horizontal="center"/>
    </xf>
    <xf numFmtId="1" fontId="12" fillId="11" borderId="0" xfId="0" applyNumberFormat="1" applyFont="1" applyFill="1" applyBorder="1" applyAlignment="1">
      <alignment horizontal="center"/>
    </xf>
    <xf numFmtId="0" fontId="12" fillId="11" borderId="0" xfId="0" applyFont="1" applyFill="1" applyBorder="1"/>
    <xf numFmtId="2" fontId="12" fillId="11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/>
    <xf numFmtId="2" fontId="12" fillId="2" borderId="0" xfId="0" quotePrefix="1" applyNumberFormat="1" applyFont="1" applyFill="1" applyBorder="1" applyAlignment="1">
      <alignment horizontal="center"/>
    </xf>
    <xf numFmtId="0" fontId="0" fillId="7" borderId="9" xfId="0" applyFill="1" applyBorder="1"/>
    <xf numFmtId="2" fontId="12" fillId="11" borderId="0" xfId="0" applyNumberFormat="1" applyFont="1" applyFill="1" applyBorder="1"/>
    <xf numFmtId="166" fontId="0" fillId="11" borderId="10" xfId="0" applyNumberFormat="1" applyFill="1" applyBorder="1" applyAlignment="1" applyProtection="1">
      <alignment horizontal="center" vertical="center"/>
      <protection hidden="1"/>
    </xf>
    <xf numFmtId="166" fontId="0" fillId="11" borderId="23" xfId="0" applyNumberFormat="1" applyFill="1" applyBorder="1" applyAlignment="1" applyProtection="1">
      <alignment horizontal="center" vertical="center"/>
      <protection hidden="1"/>
    </xf>
    <xf numFmtId="1" fontId="0" fillId="11" borderId="36" xfId="0" applyNumberFormat="1" applyFill="1" applyBorder="1" applyAlignment="1" applyProtection="1">
      <alignment horizontal="center" vertical="center"/>
      <protection hidden="1"/>
    </xf>
    <xf numFmtId="1" fontId="0" fillId="11" borderId="17" xfId="0" applyNumberFormat="1" applyFill="1" applyBorder="1" applyAlignment="1" applyProtection="1">
      <alignment horizontal="center" vertical="center"/>
      <protection hidden="1"/>
    </xf>
    <xf numFmtId="1" fontId="0" fillId="11" borderId="18" xfId="0" applyNumberFormat="1" applyFill="1" applyBorder="1" applyAlignment="1" applyProtection="1">
      <alignment horizontal="center" vertical="center"/>
      <protection hidden="1"/>
    </xf>
    <xf numFmtId="165" fontId="0" fillId="3" borderId="0" xfId="0" applyNumberFormat="1" applyFill="1" applyAlignment="1" applyProtection="1">
      <alignment horizontal="center"/>
      <protection hidden="1"/>
    </xf>
    <xf numFmtId="0" fontId="10" fillId="14" borderId="26" xfId="0" applyFont="1" applyFill="1" applyBorder="1" applyAlignment="1">
      <alignment horizontal="center" vertical="center"/>
    </xf>
    <xf numFmtId="0" fontId="9" fillId="12" borderId="32" xfId="0" applyFont="1" applyFill="1" applyBorder="1" applyAlignment="1" applyProtection="1">
      <alignment horizontal="center" vertical="center"/>
      <protection locked="0"/>
    </xf>
    <xf numFmtId="0" fontId="9" fillId="12" borderId="44" xfId="0" applyFont="1" applyFill="1" applyBorder="1" applyAlignment="1" applyProtection="1">
      <alignment horizontal="center" vertical="center"/>
      <protection locked="0"/>
    </xf>
    <xf numFmtId="0" fontId="10" fillId="14" borderId="8" xfId="0" applyFont="1" applyFill="1" applyBorder="1" applyAlignment="1">
      <alignment horizontal="center" vertical="center"/>
    </xf>
    <xf numFmtId="0" fontId="9" fillId="12" borderId="21" xfId="0" applyFont="1" applyFill="1" applyBorder="1" applyAlignment="1" applyProtection="1">
      <alignment horizontal="center" vertical="center"/>
      <protection locked="0"/>
    </xf>
    <xf numFmtId="0" fontId="9" fillId="12" borderId="45" xfId="0" applyFont="1" applyFill="1" applyBorder="1" applyAlignment="1" applyProtection="1">
      <alignment horizontal="center" vertical="center"/>
      <protection locked="0"/>
    </xf>
    <xf numFmtId="0" fontId="0" fillId="14" borderId="6" xfId="0" quotePrefix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>
      <alignment horizontal="center" vertical="center"/>
    </xf>
    <xf numFmtId="0" fontId="0" fillId="14" borderId="25" xfId="0" applyFill="1" applyBorder="1" applyAlignment="1">
      <alignment horizontal="left" vertical="center"/>
    </xf>
    <xf numFmtId="2" fontId="0" fillId="14" borderId="6" xfId="0" applyNumberFormat="1" applyFill="1" applyBorder="1" applyAlignment="1" applyProtection="1">
      <alignment horizontal="center" vertical="center"/>
      <protection hidden="1"/>
    </xf>
    <xf numFmtId="0" fontId="0" fillId="14" borderId="22" xfId="0" applyFill="1" applyBorder="1" applyAlignment="1" applyProtection="1">
      <alignment horizontal="center" vertical="center"/>
      <protection hidden="1"/>
    </xf>
    <xf numFmtId="0" fontId="0" fillId="14" borderId="10" xfId="0" applyFill="1" applyBorder="1" applyAlignment="1" applyProtection="1">
      <alignment horizontal="center" vertical="center"/>
      <protection hidden="1"/>
    </xf>
    <xf numFmtId="0" fontId="0" fillId="14" borderId="23" xfId="0" applyFill="1" applyBorder="1" applyAlignment="1" applyProtection="1">
      <alignment horizontal="center" vertical="center"/>
      <protection hidden="1"/>
    </xf>
    <xf numFmtId="1" fontId="0" fillId="16" borderId="22" xfId="0" applyNumberFormat="1" applyFill="1" applyBorder="1" applyAlignment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1" fontId="0" fillId="16" borderId="23" xfId="0" applyNumberFormat="1" applyFill="1" applyBorder="1" applyAlignment="1">
      <alignment horizontal="center" vertical="center"/>
    </xf>
    <xf numFmtId="0" fontId="1" fillId="14" borderId="46" xfId="0" applyFont="1" applyFill="1" applyBorder="1" applyAlignment="1">
      <alignment horizontal="center" vertical="center"/>
    </xf>
    <xf numFmtId="2" fontId="10" fillId="14" borderId="4" xfId="0" applyNumberFormat="1" applyFont="1" applyFill="1" applyBorder="1" applyAlignment="1" applyProtection="1">
      <alignment horizontal="center" vertical="center"/>
      <protection hidden="1"/>
    </xf>
    <xf numFmtId="2" fontId="0" fillId="14" borderId="5" xfId="0" applyNumberFormat="1" applyFill="1" applyBorder="1" applyAlignment="1" applyProtection="1">
      <alignment horizontal="center" vertical="center"/>
      <protection hidden="1"/>
    </xf>
    <xf numFmtId="0" fontId="4" fillId="14" borderId="11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/>
    </xf>
    <xf numFmtId="0" fontId="4" fillId="14" borderId="37" xfId="0" applyFont="1" applyFill="1" applyBorder="1" applyAlignment="1">
      <alignment horizontal="center" vertical="center"/>
    </xf>
    <xf numFmtId="0" fontId="4" fillId="14" borderId="38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2" fontId="10" fillId="14" borderId="3" xfId="0" applyNumberFormat="1" applyFont="1" applyFill="1" applyBorder="1" applyAlignment="1" applyProtection="1">
      <alignment horizontal="center" vertical="center"/>
      <protection hidden="1"/>
    </xf>
    <xf numFmtId="2" fontId="0" fillId="14" borderId="4" xfId="0" applyNumberForma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/>
    </xf>
    <xf numFmtId="0" fontId="2" fillId="12" borderId="11" xfId="1" applyFill="1" applyBorder="1" applyAlignment="1" applyProtection="1">
      <alignment horizontal="center" vertical="center"/>
      <protection locked="0"/>
    </xf>
    <xf numFmtId="0" fontId="2" fillId="12" borderId="13" xfId="1" applyFill="1" applyBorder="1" applyAlignment="1" applyProtection="1">
      <alignment horizontal="center" vertical="center"/>
      <protection locked="0"/>
    </xf>
    <xf numFmtId="0" fontId="2" fillId="12" borderId="14" xfId="1" applyFill="1" applyBorder="1" applyAlignment="1" applyProtection="1">
      <alignment horizontal="center" vertical="center"/>
      <protection locked="0"/>
    </xf>
    <xf numFmtId="0" fontId="2" fillId="12" borderId="16" xfId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EAEAE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'100005G1'!$O$1:$O$2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'100005G1'!$P$1:$P$2</c:f>
              <c:numCache>
                <c:formatCode>General</c:formatCode>
                <c:ptCount val="2"/>
                <c:pt idx="0">
                  <c:v>0</c:v>
                </c:pt>
                <c:pt idx="1">
                  <c:v>64.400000000000006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'100005G1'!$O$3:$O$5</c:f>
              <c:numCache>
                <c:formatCode>General</c:formatCode>
                <c:ptCount val="3"/>
                <c:pt idx="0">
                  <c:v>36.551224490153572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'100005G1'!$P$3:$P$5</c:f>
              <c:numCache>
                <c:formatCode>General</c:formatCode>
                <c:ptCount val="3"/>
                <c:pt idx="0">
                  <c:v>0</c:v>
                </c:pt>
                <c:pt idx="1">
                  <c:v>44.318643673452932</c:v>
                </c:pt>
                <c:pt idx="2">
                  <c:v>62.996938287569741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'100005G1'!$O$7:$O$8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'100005G1'!$P$7:$P$8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'100005G1'!$O$6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'100005G1'!$P$6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56672"/>
        <c:axId val="6655859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'100005G1'!$O$9:$O$10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'100005G1'!$P$9:$P$10</c:f>
              <c:numCache>
                <c:formatCode>General</c:formatCode>
                <c:ptCount val="2"/>
                <c:pt idx="0">
                  <c:v>0</c:v>
                </c:pt>
                <c:pt idx="1">
                  <c:v>14.166013358286635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60768"/>
        <c:axId val="66562304"/>
      </c:scatterChart>
      <c:valAx>
        <c:axId val="66556672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6558592"/>
        <c:crossesAt val="0"/>
        <c:crossBetween val="midCat"/>
        <c:majorUnit val="200"/>
      </c:valAx>
      <c:valAx>
        <c:axId val="6655859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6556672"/>
        <c:crosses val="autoZero"/>
        <c:crossBetween val="midCat"/>
        <c:majorUnit val="10"/>
        <c:minorUnit val="10"/>
      </c:valAx>
      <c:valAx>
        <c:axId val="66560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304"/>
        <c:crosses val="autoZero"/>
        <c:crossBetween val="midCat"/>
      </c:valAx>
      <c:valAx>
        <c:axId val="66562304"/>
        <c:scaling>
          <c:orientation val="minMax"/>
          <c:max val="18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6560768"/>
        <c:crosses val="max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'100005G5'!$O$41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'100005G5'!$P$42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4.260798411785041</c:v>
              </c:pt>
              <c:pt idx="1">
                <c:v>6.5636416209511914</c:v>
              </c:pt>
              <c:pt idx="2">
                <c:v>9.5244400327362264</c:v>
              </c:pt>
              <c:pt idx="3">
                <c:v>13.14319364714015</c:v>
              </c:pt>
              <c:pt idx="4">
                <c:v>17.419902464162998</c:v>
              </c:pt>
              <c:pt idx="5">
                <c:v>22.354566483804799</c:v>
              </c:pt>
              <c:pt idx="6">
                <c:v>27.947185706065369</c:v>
              </c:pt>
              <c:pt idx="7">
                <c:v>34.197760130945063</c:v>
              </c:pt>
              <c:pt idx="8">
                <c:v>41.106289758442919</c:v>
              </c:pt>
              <c:pt idx="9">
                <c:v>48.672774588560657</c:v>
              </c:pt>
              <c:pt idx="10">
                <c:v>56.897214621296342</c:v>
              </c:pt>
              <c:pt idx="11">
                <c:v>65.779609856651035</c:v>
              </c:pt>
              <c:pt idx="12">
                <c:v>75.319960294626028</c:v>
              </c:pt>
              <c:pt idx="13">
                <c:v>85.518265935219645</c:v>
              </c:pt>
              <c:pt idx="14">
                <c:v>96.374526778430749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1.6525121433241761</c:v>
              </c:pt>
              <c:pt idx="1">
                <c:v>1.9266882547985451</c:v>
              </c:pt>
              <c:pt idx="2">
                <c:v>2.2792003981227138</c:v>
              </c:pt>
              <c:pt idx="3">
                <c:v>2.7100485732966981</c:v>
              </c:pt>
              <c:pt idx="4">
                <c:v>3.2192327803205152</c:v>
              </c:pt>
              <c:pt idx="5">
                <c:v>3.806753019194117</c:v>
              </c:pt>
              <c:pt idx="6">
                <c:v>4.4726092899175924</c:v>
              </c:pt>
              <c:pt idx="7">
                <c:v>5.2168015924908504</c:v>
              </c:pt>
              <c:pt idx="8">
                <c:v>6.0393299269139424</c:v>
              </c:pt>
              <c:pt idx="9">
                <c:v>6.9401942931868223</c:v>
              </c:pt>
              <c:pt idx="10">
                <c:v>7.9193946913095434</c:v>
              </c:pt>
              <c:pt idx="11">
                <c:v>8.9769311212820604</c:v>
              </c:pt>
              <c:pt idx="12">
                <c:v>10.112803583104411</c:v>
              </c:pt>
              <c:pt idx="13">
                <c:v>11.327012076776571</c:v>
              </c:pt>
              <c:pt idx="14">
                <c:v>12.61955660229855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3.039397255128145</c:v>
              </c:pt>
              <c:pt idx="1">
                <c:v>4.3922617868944824</c:v>
              </c:pt>
              <c:pt idx="2">
                <c:v>6.1316590420226804</c:v>
              </c:pt>
              <c:pt idx="3">
                <c:v>8.2575890205125742</c:v>
              </c:pt>
              <c:pt idx="4">
                <c:v>10.770051722364339</c:v>
              </c:pt>
              <c:pt idx="5">
                <c:v>13.66904714757792</c:v>
              </c:pt>
              <c:pt idx="6">
                <c:v>16.954575296153291</c:v>
              </c:pt>
              <c:pt idx="7">
                <c:v>20.626636168090531</c:v>
              </c:pt>
              <c:pt idx="8">
                <c:v>24.68522976338949</c:v>
              </c:pt>
              <c:pt idx="9">
                <c:v>29.13035608205033</c:v>
              </c:pt>
              <c:pt idx="10">
                <c:v>33.962015124073382</c:v>
              </c:pt>
              <c:pt idx="11">
                <c:v>39.180206889457352</c:v>
              </c:pt>
              <c:pt idx="12">
                <c:v>44.784931378203588</c:v>
              </c:pt>
              <c:pt idx="13">
                <c:v>50.776188590311648</c:v>
              </c:pt>
              <c:pt idx="14">
                <c:v>57.153978525781497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1.541330182156966</c:v>
              </c:pt>
              <c:pt idx="1">
                <c:v>1.7290314349457181</c:v>
              </c:pt>
              <c:pt idx="2">
                <c:v>1.970361617102673</c:v>
              </c:pt>
              <c:pt idx="3">
                <c:v>2.265320728627898</c:v>
              </c:pt>
              <c:pt idx="4">
                <c:v>2.6139087695212599</c:v>
              </c:pt>
              <c:pt idx="5">
                <c:v>3.0161257397828671</c:v>
              </c:pt>
              <c:pt idx="6">
                <c:v>3.4719716394126952</c:v>
              </c:pt>
              <c:pt idx="7">
                <c:v>3.9814464684107351</c:v>
              </c:pt>
              <c:pt idx="8">
                <c:v>4.5445502267769049</c:v>
              </c:pt>
              <c:pt idx="9">
                <c:v>5.1612829145114576</c:v>
              </c:pt>
              <c:pt idx="10">
                <c:v>5.8316445316141534</c:v>
              </c:pt>
              <c:pt idx="11">
                <c:v>6.5556350780849897</c:v>
              </c:pt>
              <c:pt idx="12">
                <c:v>7.3332545539241529</c:v>
              </c:pt>
              <c:pt idx="13">
                <c:v>8.1645029591314806</c:v>
              </c:pt>
              <c:pt idx="14">
                <c:v>9.0493802937070242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2.3378865054065141</c:v>
              </c:pt>
              <c:pt idx="1">
                <c:v>3.1451315651671701</c:v>
              </c:pt>
              <c:pt idx="2">
                <c:v>4.1830180705736506</c:v>
              </c:pt>
              <c:pt idx="3">
                <c:v>5.4515460216260578</c:v>
              </c:pt>
              <c:pt idx="4">
                <c:v>6.9507154183243562</c:v>
              </c:pt>
              <c:pt idx="5">
                <c:v>8.6805262606685467</c:v>
              </c:pt>
              <c:pt idx="6">
                <c:v>10.640978548658619</c:v>
              </c:pt>
              <c:pt idx="7">
                <c:v>12.832072282294609</c:v>
              </c:pt>
              <c:pt idx="8">
                <c:v>15.25380746157647</c:v>
              </c:pt>
              <c:pt idx="9">
                <c:v>17.906184086504229</c:v>
              </c:pt>
              <c:pt idx="10">
                <c:v>20.789202157077781</c:v>
              </c:pt>
              <c:pt idx="11">
                <c:v>23.90286167329743</c:v>
              </c:pt>
              <c:pt idx="12">
                <c:v>27.247162635162681</c:v>
              </c:pt>
              <c:pt idx="13">
                <c:v>30.822105042674188</c:v>
              </c:pt>
              <c:pt idx="14">
                <c:v>34.627688895831398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1.4327056660818001</c:v>
              </c:pt>
              <c:pt idx="1">
                <c:v>1.5359211841454099</c:v>
              </c:pt>
              <c:pt idx="2">
                <c:v>1.668626850227219</c:v>
              </c:pt>
              <c:pt idx="3">
                <c:v>1.830822664327195</c:v>
              </c:pt>
              <c:pt idx="4">
                <c:v>2.0225086264453491</c:v>
              </c:pt>
              <c:pt idx="5">
                <c:v>2.2436847365817032</c:v>
              </c:pt>
              <c:pt idx="6">
                <c:v>2.4943509947361782</c:v>
              </c:pt>
              <c:pt idx="7">
                <c:v>2.7745074009088748</c:v>
              </c:pt>
              <c:pt idx="8">
                <c:v>3.084153955099739</c:v>
              </c:pt>
              <c:pt idx="9">
                <c:v>3.42329065730878</c:v>
              </c:pt>
              <c:pt idx="10">
                <c:v>3.7919175075360219</c:v>
              </c:pt>
              <c:pt idx="11">
                <c:v>4.1900345057813846</c:v>
              </c:pt>
              <c:pt idx="12">
                <c:v>4.6176416520449681</c:v>
              </c:pt>
              <c:pt idx="13">
                <c:v>5.0747389463266854</c:v>
              </c:pt>
              <c:pt idx="14">
                <c:v>5.5613263886266484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1.8460911811691409</c:v>
              </c:pt>
              <c:pt idx="1">
                <c:v>2.270828766522941</c:v>
              </c:pt>
              <c:pt idx="2">
                <c:v>2.8169199476920599</c:v>
              </c:pt>
              <c:pt idx="3">
                <c:v>3.4843647246765701</c:v>
              </c:pt>
              <c:pt idx="4">
                <c:v>4.2731630974764414</c:v>
              </c:pt>
              <c:pt idx="5">
                <c:v>5.1833150660916676</c:v>
              </c:pt>
              <c:pt idx="6">
                <c:v>6.2148206305222704</c:v>
              </c:pt>
              <c:pt idx="7">
                <c:v>7.3676797907682401</c:v>
              </c:pt>
              <c:pt idx="8">
                <c:v>8.6418925468295686</c:v>
              </c:pt>
              <c:pt idx="9">
                <c:v>10.03745889870628</c:v>
              </c:pt>
              <c:pt idx="10">
                <c:v>11.55437884639832</c:v>
              </c:pt>
              <c:pt idx="11">
                <c:v>13.19265238990576</c:v>
              </c:pt>
              <c:pt idx="12">
                <c:v>14.95227952922858</c:v>
              </c:pt>
              <c:pt idx="13">
                <c:v>16.83326026436669</c:v>
              </c:pt>
              <c:pt idx="14">
                <c:v>18.835594595320089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1.392347398060338</c:v>
              </c:pt>
              <c:pt idx="1">
                <c:v>1.464173152107267</c:v>
              </c:pt>
              <c:pt idx="2">
                <c:v>1.556520550167606</c:v>
              </c:pt>
              <c:pt idx="3">
                <c:v>1.669389592241352</c:v>
              </c:pt>
              <c:pt idx="4">
                <c:v>1.802780278328507</c:v>
              </c:pt>
              <c:pt idx="5">
                <c:v>1.9566926084290699</c:v>
              </c:pt>
              <c:pt idx="6">
                <c:v>2.131126582543041</c:v>
              </c:pt>
              <c:pt idx="7">
                <c:v>2.326082200670422</c:v>
              </c:pt>
              <c:pt idx="8">
                <c:v>2.5415594628112101</c:v>
              </c:pt>
              <c:pt idx="9">
                <c:v>2.7775583689654271</c:v>
              </c:pt>
              <c:pt idx="10">
                <c:v>3.0340789191329991</c:v>
              </c:pt>
              <c:pt idx="11">
                <c:v>3.3111211133140181</c:v>
              </c:pt>
              <c:pt idx="12">
                <c:v>3.60868495150845</c:v>
              </c:pt>
              <c:pt idx="13">
                <c:v>3.9267704337162539</c:v>
              </c:pt>
              <c:pt idx="14">
                <c:v>4.2653775599374697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2432"/>
        <c:axId val="8064435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52544"/>
        <c:axId val="80650624"/>
      </c:scatterChart>
      <c:valAx>
        <c:axId val="80642432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0644352"/>
        <c:crosses val="autoZero"/>
        <c:crossBetween val="midCat"/>
        <c:majorUnit val="200"/>
      </c:valAx>
      <c:valAx>
        <c:axId val="8064435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0642432"/>
        <c:crosses val="autoZero"/>
        <c:crossBetween val="midCat"/>
        <c:majorUnit val="1"/>
      </c:valAx>
      <c:valAx>
        <c:axId val="8065062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0652544"/>
        <c:crosses val="max"/>
        <c:crossBetween val="midCat"/>
      </c:valAx>
      <c:valAx>
        <c:axId val="8065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650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'400250G2'!$N$37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'400250G2'!$O$37:$O$38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'400250G2'!$P$37:$P$38</c:f>
              <c:numCache>
                <c:formatCode>0.0</c:formatCode>
                <c:ptCount val="2"/>
                <c:pt idx="0">
                  <c:v>0</c:v>
                </c:pt>
                <c:pt idx="1">
                  <c:v>22.937192259983821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'400250G2'!$N$35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'400250G2'!$O$35:$O$36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'400250G2'!$P$35:$P$36</c:f>
              <c:numCache>
                <c:formatCode>0.0</c:formatCode>
                <c:ptCount val="2"/>
                <c:pt idx="0">
                  <c:v>0</c:v>
                </c:pt>
                <c:pt idx="1">
                  <c:v>24.226989580747453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'400250G2'!$N$33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'400250G2'!$O$33:$O$34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'400250G2'!$P$33:$P$34</c:f>
              <c:numCache>
                <c:formatCode>0.0</c:formatCode>
                <c:ptCount val="2"/>
                <c:pt idx="0">
                  <c:v>0</c:v>
                </c:pt>
                <c:pt idx="1">
                  <c:v>17.576989580747455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'400250G2'!$N$31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'400250G2'!$O$31:$O$32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'400250G2'!$P$31:$P$32</c:f>
              <c:numCache>
                <c:formatCode>0.0</c:formatCode>
                <c:ptCount val="2"/>
                <c:pt idx="0">
                  <c:v>0</c:v>
                </c:pt>
                <c:pt idx="1">
                  <c:v>14.251989580747452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'400250G2'!$N$29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'400250G2'!$O$29:$O$30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'400250G2'!$P$29:$P$30</c:f>
              <c:numCache>
                <c:formatCode>0.0</c:formatCode>
                <c:ptCount val="2"/>
                <c:pt idx="0">
                  <c:v>0</c:v>
                </c:pt>
                <c:pt idx="1">
                  <c:v>10.926989580747453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'400250G2'!$N$27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'400250G2'!$P$27:$P$28</c:f>
              <c:numCache>
                <c:formatCode>0.0</c:formatCode>
                <c:ptCount val="2"/>
                <c:pt idx="0">
                  <c:v>0</c:v>
                </c:pt>
                <c:pt idx="1">
                  <c:v>7.6019895807474533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61056"/>
        <c:axId val="111662976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'400250G2'!$P$23</c:f>
              <c:numCache>
                <c:formatCode>0.00</c:formatCode>
                <c:ptCount val="1"/>
                <c:pt idx="0">
                  <c:v>46.935769999999998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67072"/>
        <c:axId val="111665152"/>
      </c:scatterChart>
      <c:valAx>
        <c:axId val="111661056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662976"/>
        <c:crossesAt val="0"/>
        <c:crossBetween val="midCat"/>
        <c:majorUnit val="100"/>
        <c:minorUnit val="100"/>
      </c:valAx>
      <c:valAx>
        <c:axId val="11166297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661056"/>
        <c:crosses val="autoZero"/>
        <c:crossBetween val="midCat"/>
        <c:majorUnit val="5"/>
        <c:minorUnit val="1"/>
      </c:valAx>
      <c:valAx>
        <c:axId val="111665152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667072"/>
        <c:crosses val="max"/>
        <c:crossBetween val="midCat"/>
        <c:majorUnit val="5"/>
      </c:valAx>
      <c:valAx>
        <c:axId val="11166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665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'400250G3'!$O$1:$O$2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'400250G3'!$P$1:$P$2</c:f>
              <c:numCache>
                <c:formatCode>General</c:formatCode>
                <c:ptCount val="2"/>
                <c:pt idx="0">
                  <c:v>0</c:v>
                </c:pt>
                <c:pt idx="1">
                  <c:v>1750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'400250G3'!$O$3:$O$5</c:f>
              <c:numCache>
                <c:formatCode>General</c:formatCode>
                <c:ptCount val="3"/>
                <c:pt idx="0">
                  <c:v>46.37904124781727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'400250G3'!$P$3:$P$5</c:f>
              <c:numCache>
                <c:formatCode>General</c:formatCode>
                <c:ptCount val="3"/>
                <c:pt idx="0">
                  <c:v>0</c:v>
                </c:pt>
                <c:pt idx="1">
                  <c:v>1184.0523968804569</c:v>
                </c:pt>
                <c:pt idx="2">
                  <c:v>1657.569183085154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'400250G3'!$O$7:$O$8</c:f>
              <c:numCache>
                <c:formatCode>General</c:formatCode>
                <c:ptCount val="2"/>
                <c:pt idx="0">
                  <c:v>8.5501140904992781</c:v>
                </c:pt>
                <c:pt idx="1">
                  <c:v>700</c:v>
                </c:pt>
              </c:numCache>
            </c:numRef>
          </c:xVal>
          <c:yVal>
            <c:numRef>
              <c:f>'400250G3'!$P$7:$P$8</c:f>
              <c:numCache>
                <c:formatCode>General</c:formatCode>
                <c:ptCount val="2"/>
                <c:pt idx="0">
                  <c:v>0</c:v>
                </c:pt>
                <c:pt idx="1">
                  <c:v>1728.6247147737517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'400250G3'!$O$6</c:f>
              <c:numCache>
                <c:formatCode>0</c:formatCode>
                <c:ptCount val="1"/>
                <c:pt idx="0">
                  <c:v>35</c:v>
                </c:pt>
              </c:numCache>
            </c:numRef>
          </c:xVal>
          <c:yVal>
            <c:numRef>
              <c:f>'400250G3'!$P$6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34144"/>
        <c:axId val="11175270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'400250G3'!$O$9:$O$10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'400250G3'!$P$9:$P$10</c:f>
              <c:numCache>
                <c:formatCode>General</c:formatCode>
                <c:ptCount val="2"/>
                <c:pt idx="0">
                  <c:v>0</c:v>
                </c:pt>
                <c:pt idx="1">
                  <c:v>384.94601517083248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54624"/>
        <c:axId val="111760512"/>
      </c:scatterChart>
      <c:valAx>
        <c:axId val="111734144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752704"/>
        <c:crossesAt val="0"/>
        <c:crossBetween val="midCat"/>
        <c:majorUnit val="100"/>
      </c:valAx>
      <c:valAx>
        <c:axId val="11175270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0687830687830699E-3"/>
              <c:y val="0.4102631172839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734144"/>
        <c:crosses val="autoZero"/>
        <c:crossBetween val="midCat"/>
        <c:majorUnit val="200"/>
        <c:minorUnit val="10"/>
      </c:valAx>
      <c:valAx>
        <c:axId val="1117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60512"/>
        <c:crosses val="autoZero"/>
        <c:crossBetween val="midCat"/>
      </c:valAx>
      <c:valAx>
        <c:axId val="111760512"/>
        <c:scaling>
          <c:orientation val="minMax"/>
          <c:max val="475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754624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6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'400250G3'!$O$41</c:f>
              <c:numCache>
                <c:formatCode>0</c:formatCode>
                <c:ptCount val="1"/>
                <c:pt idx="0">
                  <c:v>35</c:v>
                </c:pt>
              </c:numCache>
            </c:numRef>
          </c:xVal>
          <c:yVal>
            <c:numRef>
              <c:f>'400250G3'!$P$42</c:f>
              <c:numCache>
                <c:formatCode>0.00</c:formatCode>
                <c:ptCount val="1"/>
                <c:pt idx="0">
                  <c:v>1.6495394525334688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2.796451576606223</c:v>
              </c:pt>
              <c:pt idx="1">
                <c:v>3.9603583584110642</c:v>
              </c:pt>
              <c:pt idx="2">
                <c:v>5.4568099350172874</c:v>
              </c:pt>
              <c:pt idx="3">
                <c:v>7.2858063064248917</c:v>
              </c:pt>
              <c:pt idx="4">
                <c:v>9.4473474726338171</c:v>
              </c:pt>
              <c:pt idx="5">
                <c:v>11.94143343364426</c:v>
              </c:pt>
              <c:pt idx="6">
                <c:v>14.768064189456</c:v>
              </c:pt>
              <c:pt idx="7">
                <c:v>17.927239740068959</c:v>
              </c:pt>
              <c:pt idx="8">
                <c:v>21.418960085483661</c:v>
              </c:pt>
              <c:pt idx="9">
                <c:v>25.243225225699572</c:v>
              </c:pt>
              <c:pt idx="10">
                <c:v>29.40003516071685</c:v>
              </c:pt>
              <c:pt idx="11">
                <c:v>33.889389890535497</c:v>
              </c:pt>
              <c:pt idx="12">
                <c:v>38.71128941515525</c:v>
              </c:pt>
              <c:pt idx="13">
                <c:v>43.865733734577461</c:v>
              </c:pt>
              <c:pt idx="14">
                <c:v>49.352722848800013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1.6513605606317681</c:v>
              </c:pt>
              <c:pt idx="1">
                <c:v>1.924640996678685</c:v>
              </c:pt>
              <c:pt idx="2">
                <c:v>2.276001557310452</c:v>
              </c:pt>
              <c:pt idx="3">
                <c:v>2.7054422425270408</c:v>
              </c:pt>
              <c:pt idx="4">
                <c:v>3.212963052328448</c:v>
              </c:pt>
              <c:pt idx="5">
                <c:v>3.7985639867147079</c:v>
              </c:pt>
              <c:pt idx="6">
                <c:v>4.4622450456858029</c:v>
              </c:pt>
              <c:pt idx="7">
                <c:v>5.2040062292417266</c:v>
              </c:pt>
              <c:pt idx="8">
                <c:v>6.0238475373824736</c:v>
              </c:pt>
              <c:pt idx="9">
                <c:v>6.9217689701080944</c:v>
              </c:pt>
              <c:pt idx="10">
                <c:v>7.8977705274184666</c:v>
              </c:pt>
              <c:pt idx="11">
                <c:v>8.9518522093138024</c:v>
              </c:pt>
              <c:pt idx="12">
                <c:v>10.084014015793899</c:v>
              </c:pt>
              <c:pt idx="13">
                <c:v>11.294255946858749</c:v>
              </c:pt>
              <c:pt idx="14">
                <c:v>12.58257800250861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2.2602314889952502</c:v>
              </c:pt>
              <c:pt idx="1">
                <c:v>3.0070782026581862</c:v>
              </c:pt>
              <c:pt idx="2">
                <c:v>3.9673096916534161</c:v>
              </c:pt>
              <c:pt idx="3">
                <c:v>5.1409259559808964</c:v>
              </c:pt>
              <c:pt idx="4">
                <c:v>6.5279269956406942</c:v>
              </c:pt>
              <c:pt idx="5">
                <c:v>8.1283128106327371</c:v>
              </c:pt>
              <c:pt idx="6">
                <c:v>9.9420834009570669</c:v>
              </c:pt>
              <c:pt idx="7">
                <c:v>11.96923876661366</c:v>
              </c:pt>
              <c:pt idx="8">
                <c:v>14.209778907602519</c:v>
              </c:pt>
              <c:pt idx="9">
                <c:v>16.66370382392348</c:v>
              </c:pt>
              <c:pt idx="10">
                <c:v>19.331013515577091</c:v>
              </c:pt>
              <c:pt idx="11">
                <c:v>22.211707982562729</c:v>
              </c:pt>
              <c:pt idx="12">
                <c:v>25.305787224880739</c:v>
              </c:pt>
              <c:pt idx="13">
                <c:v>28.613251242530971</c:v>
              </c:pt>
              <c:pt idx="14">
                <c:v>32.134100035513477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1.6025494058093519</c:v>
              </c:pt>
              <c:pt idx="1">
                <c:v>1.837865610327736</c:v>
              </c:pt>
              <c:pt idx="2">
                <c:v>2.1404150161370881</c:v>
              </c:pt>
              <c:pt idx="3">
                <c:v>2.5101976232374068</c:v>
              </c:pt>
              <c:pt idx="4">
                <c:v>2.9472134316286871</c:v>
              </c:pt>
              <c:pt idx="5">
                <c:v>3.4514624413109432</c:v>
              </c:pt>
              <c:pt idx="6">
                <c:v>4.0229446522841643</c:v>
              </c:pt>
              <c:pt idx="7">
                <c:v>4.661660064548351</c:v>
              </c:pt>
              <c:pt idx="8">
                <c:v>5.3676086781034646</c:v>
              </c:pt>
              <c:pt idx="9">
                <c:v>6.1407904929496704</c:v>
              </c:pt>
              <c:pt idx="10">
                <c:v>6.9812055090867116</c:v>
              </c:pt>
              <c:pt idx="11">
                <c:v>7.8888537265147702</c:v>
              </c:pt>
              <c:pt idx="12">
                <c:v>8.8637351452337896</c:v>
              </c:pt>
              <c:pt idx="13">
                <c:v>9.9058497652437776</c:v>
              </c:pt>
              <c:pt idx="14">
                <c:v>11.01519758654476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1.9522539227176829</c:v>
              </c:pt>
              <c:pt idx="1">
                <c:v>2.4595625292758361</c:v>
              </c:pt>
              <c:pt idx="2">
                <c:v>3.1118164519935321</c:v>
              </c:pt>
              <c:pt idx="3">
                <c:v>3.9090156908706781</c:v>
              </c:pt>
              <c:pt idx="4">
                <c:v>4.8511602459073231</c:v>
              </c:pt>
              <c:pt idx="5">
                <c:v>5.9382501171034434</c:v>
              </c:pt>
              <c:pt idx="6">
                <c:v>7.1702853044590444</c:v>
              </c:pt>
              <c:pt idx="7">
                <c:v>8.5472658079740871</c:v>
              </c:pt>
              <c:pt idx="8">
                <c:v>10.06919162764871</c:v>
              </c:pt>
              <c:pt idx="9">
                <c:v>11.736062763482741</c:v>
              </c:pt>
              <c:pt idx="10">
                <c:v>13.54787921547628</c:v>
              </c:pt>
              <c:pt idx="11">
                <c:v>15.504640983629301</c:v>
              </c:pt>
              <c:pt idx="12">
                <c:v>17.606348067941791</c:v>
              </c:pt>
              <c:pt idx="13">
                <c:v>19.853000468413839</c:v>
              </c:pt>
              <c:pt idx="14">
                <c:v>22.244598185045231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1.5548610216866821</c:v>
              </c:pt>
              <c:pt idx="1">
                <c:v>1.753086260776322</c:v>
              </c:pt>
              <c:pt idx="2">
                <c:v>2.0079472824630038</c:v>
              </c:pt>
              <c:pt idx="3">
                <c:v>2.3194440867467172</c:v>
              </c:pt>
              <c:pt idx="4">
                <c:v>2.6875766736275062</c:v>
              </c:pt>
              <c:pt idx="5">
                <c:v>3.1123450431052659</c:v>
              </c:pt>
              <c:pt idx="6">
                <c:v>3.5937491951801182</c:v>
              </c:pt>
              <c:pt idx="7">
                <c:v>4.1317891298520131</c:v>
              </c:pt>
              <c:pt idx="8">
                <c:v>4.7264648471209236</c:v>
              </c:pt>
              <c:pt idx="9">
                <c:v>5.3777763469868756</c:v>
              </c:pt>
              <c:pt idx="10">
                <c:v>6.0857236294499018</c:v>
              </c:pt>
              <c:pt idx="11">
                <c:v>6.8503066945099453</c:v>
              </c:pt>
              <c:pt idx="12">
                <c:v>7.6715255421670276</c:v>
              </c:pt>
              <c:pt idx="13">
                <c:v>8.5493801724211487</c:v>
              </c:pt>
              <c:pt idx="14">
                <c:v>9.4838705852723209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1.736345717283313</c:v>
              </c:pt>
              <c:pt idx="1">
                <c:v>2.0757257196147778</c:v>
              </c:pt>
              <c:pt idx="2">
                <c:v>2.5120714368980641</c:v>
              </c:pt>
              <c:pt idx="3">
                <c:v>3.0453828691332512</c:v>
              </c:pt>
              <c:pt idx="4">
                <c:v>3.6756600163202582</c:v>
              </c:pt>
              <c:pt idx="5">
                <c:v>4.4029028784591064</c:v>
              </c:pt>
              <c:pt idx="6">
                <c:v>5.2271114555498066</c:v>
              </c:pt>
              <c:pt idx="7">
                <c:v>6.1482857475923618</c:v>
              </c:pt>
              <c:pt idx="8">
                <c:v>7.1664257545867436</c:v>
              </c:pt>
              <c:pt idx="9">
                <c:v>8.2815314765330008</c:v>
              </c:pt>
              <c:pt idx="10">
                <c:v>9.4936029134311024</c:v>
              </c:pt>
              <c:pt idx="11">
                <c:v>10.802640065281119</c:v>
              </c:pt>
              <c:pt idx="12">
                <c:v>12.208642932082819</c:v>
              </c:pt>
              <c:pt idx="13">
                <c:v>13.71161151383645</c:v>
              </c:pt>
              <c:pt idx="14">
                <c:v>15.311545810542031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1.5371429166264821</c:v>
              </c:pt>
              <c:pt idx="1">
                <c:v>1.721587407335968</c:v>
              </c:pt>
              <c:pt idx="2">
                <c:v>1.9587303239624501</c:v>
              </c:pt>
              <c:pt idx="3">
                <c:v>2.2485716665059621</c:v>
              </c:pt>
              <c:pt idx="4">
                <c:v>2.5911114349664022</c:v>
              </c:pt>
              <c:pt idx="5">
                <c:v>2.9863496293438359</c:v>
              </c:pt>
              <c:pt idx="6">
                <c:v>3.4342862496383399</c:v>
              </c:pt>
              <c:pt idx="7">
                <c:v>3.9349212958498012</c:v>
              </c:pt>
              <c:pt idx="8">
                <c:v>4.4882547679782556</c:v>
              </c:pt>
              <c:pt idx="9">
                <c:v>5.0942866660236836</c:v>
              </c:pt>
              <c:pt idx="10">
                <c:v>5.7530169899861638</c:v>
              </c:pt>
              <c:pt idx="11">
                <c:v>6.4644457398656074</c:v>
              </c:pt>
              <c:pt idx="12">
                <c:v>7.2285729156620517</c:v>
              </c:pt>
              <c:pt idx="13">
                <c:v>8.0453985173754905</c:v>
              </c:pt>
              <c:pt idx="14">
                <c:v>8.9149225450059237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69408"/>
        <c:axId val="111971328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91808"/>
        <c:axId val="111989888"/>
      </c:scatterChart>
      <c:valAx>
        <c:axId val="111969408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971328"/>
        <c:crosses val="autoZero"/>
        <c:crossBetween val="midCat"/>
        <c:majorUnit val="100"/>
      </c:valAx>
      <c:valAx>
        <c:axId val="11197132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969408"/>
        <c:crosses val="autoZero"/>
        <c:crossBetween val="midCat"/>
        <c:majorUnit val="1"/>
      </c:valAx>
      <c:valAx>
        <c:axId val="11198988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7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991808"/>
        <c:crosses val="max"/>
        <c:crossBetween val="midCat"/>
      </c:valAx>
      <c:valAx>
        <c:axId val="11199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9898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'400250G4'!$N$28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1750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'400250G4'!$N$30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'400250G4'!$Q$29:$Q$30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'400250G4'!$N$32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'400250G4'!$Q$31:$Q$32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'400250G4'!$N$34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'400250G4'!$Q$33:$Q$34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'400250G4'!$N$36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'400250G4'!$Q$35:$Q$36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'400250G4'!$N$38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'400250G4'!$Q$37:$Q$38</c:f>
              <c:numCache>
                <c:formatCode>0</c:formatCode>
                <c:ptCount val="2"/>
                <c:pt idx="0">
                  <c:v>46.379041247817241</c:v>
                </c:pt>
                <c:pt idx="1">
                  <c:v>520</c:v>
                </c:pt>
              </c:numCache>
            </c:numRef>
          </c:xVal>
          <c:yVal>
            <c:numRef>
              <c:f>'400250G4'!$R$37:$R$38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1184.0523968804569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54496"/>
        <c:axId val="11216486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'400250G4'!$P$36</c:f>
              <c:numCache>
                <c:formatCode>0.0</c:formatCode>
                <c:ptCount val="1"/>
                <c:pt idx="0">
                  <c:v>24.226989580747453</c:v>
                </c:pt>
              </c:numCache>
            </c:numRef>
          </c:xVal>
          <c:yVal>
            <c:numRef>
              <c:f>'400250G4'!$P$22</c:f>
              <c:numCache>
                <c:formatCode>0.00</c:formatCode>
                <c:ptCount val="1"/>
                <c:pt idx="0">
                  <c:v>237.7548335557662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73056"/>
        <c:axId val="112166784"/>
      </c:scatterChart>
      <c:valAx>
        <c:axId val="112154496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164864"/>
        <c:crossesAt val="0"/>
        <c:crossBetween val="midCat"/>
        <c:majorUnit val="100"/>
        <c:minorUnit val="100"/>
      </c:valAx>
      <c:valAx>
        <c:axId val="11216486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154496"/>
        <c:crosses val="autoZero"/>
        <c:crossBetween val="midCat"/>
        <c:majorUnit val="200"/>
        <c:minorUnit val="1"/>
      </c:valAx>
      <c:valAx>
        <c:axId val="112166784"/>
        <c:scaling>
          <c:orientation val="minMax"/>
          <c:max val="475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173056"/>
        <c:crosses val="max"/>
        <c:crossBetween val="midCat"/>
        <c:majorUnit val="50"/>
      </c:valAx>
      <c:valAx>
        <c:axId val="1121730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21667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'400250G4'!$N$37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'400250G4'!$O$37:$O$38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'400250G4'!$P$37:$P$38</c:f>
              <c:numCache>
                <c:formatCode>0.0</c:formatCode>
                <c:ptCount val="2"/>
                <c:pt idx="0">
                  <c:v>0</c:v>
                </c:pt>
                <c:pt idx="1">
                  <c:v>22.937192259983821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'400250G4'!$N$35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'400250G4'!$O$35:$O$36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'400250G4'!$P$35:$P$36</c:f>
              <c:numCache>
                <c:formatCode>0.0</c:formatCode>
                <c:ptCount val="2"/>
                <c:pt idx="0">
                  <c:v>0</c:v>
                </c:pt>
                <c:pt idx="1">
                  <c:v>24.226989580747453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'400250G4'!$N$33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'400250G4'!$O$33:$O$34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'400250G4'!$P$33:$P$34</c:f>
              <c:numCache>
                <c:formatCode>0.0</c:formatCode>
                <c:ptCount val="2"/>
                <c:pt idx="0">
                  <c:v>0</c:v>
                </c:pt>
                <c:pt idx="1">
                  <c:v>17.576989580747455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'400250G4'!$N$31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'400250G4'!$O$31:$O$32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'400250G4'!$P$31:$P$32</c:f>
              <c:numCache>
                <c:formatCode>0.0</c:formatCode>
                <c:ptCount val="2"/>
                <c:pt idx="0">
                  <c:v>0</c:v>
                </c:pt>
                <c:pt idx="1">
                  <c:v>14.251989580747452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'400250G4'!$N$29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'400250G4'!$O$29:$O$30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'400250G4'!$P$29:$P$30</c:f>
              <c:numCache>
                <c:formatCode>0.0</c:formatCode>
                <c:ptCount val="2"/>
                <c:pt idx="0">
                  <c:v>0</c:v>
                </c:pt>
                <c:pt idx="1">
                  <c:v>10.926989580747453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'400250G4'!$N$27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'400250G4'!$P$27:$P$28</c:f>
              <c:numCache>
                <c:formatCode>0.0</c:formatCode>
                <c:ptCount val="2"/>
                <c:pt idx="0">
                  <c:v>0</c:v>
                </c:pt>
                <c:pt idx="1">
                  <c:v>7.6019895807474533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60192"/>
        <c:axId val="11156211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'400250G4'!$P$23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70304"/>
        <c:axId val="111568384"/>
      </c:scatterChart>
      <c:valAx>
        <c:axId val="111560192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562112"/>
        <c:crossesAt val="0"/>
        <c:crossBetween val="midCat"/>
        <c:majorUnit val="100"/>
        <c:minorUnit val="100"/>
      </c:valAx>
      <c:valAx>
        <c:axId val="111562112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560192"/>
        <c:crosses val="autoZero"/>
        <c:crossBetween val="midCat"/>
        <c:majorUnit val="5"/>
        <c:minorUnit val="1"/>
      </c:valAx>
      <c:valAx>
        <c:axId val="111568384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570304"/>
        <c:crosses val="max"/>
        <c:crossBetween val="midCat"/>
        <c:majorUnit val="5"/>
      </c:valAx>
      <c:valAx>
        <c:axId val="11157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5683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'400250G5'!$O$1:$O$2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'400250G5'!$P$1:$P$2</c:f>
              <c:numCache>
                <c:formatCode>General</c:formatCode>
                <c:ptCount val="2"/>
                <c:pt idx="0">
                  <c:v>0</c:v>
                </c:pt>
                <c:pt idx="1">
                  <c:v>1750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'400250G5'!$O$3:$O$5</c:f>
              <c:numCache>
                <c:formatCode>General</c:formatCode>
                <c:ptCount val="3"/>
                <c:pt idx="0">
                  <c:v>62.37904124781727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'400250G5'!$P$3:$P$5</c:f>
              <c:numCache>
                <c:formatCode>General</c:formatCode>
                <c:ptCount val="3"/>
                <c:pt idx="0">
                  <c:v>0</c:v>
                </c:pt>
                <c:pt idx="1">
                  <c:v>1144.0523968804569</c:v>
                </c:pt>
                <c:pt idx="2">
                  <c:v>1623.2834687994398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'400250G5'!$O$7:$O$8</c:f>
              <c:numCache>
                <c:formatCode>General</c:formatCode>
                <c:ptCount val="2"/>
                <c:pt idx="0">
                  <c:v>9.0564907938394299</c:v>
                </c:pt>
                <c:pt idx="1">
                  <c:v>700</c:v>
                </c:pt>
              </c:numCache>
            </c:numRef>
          </c:xVal>
          <c:yVal>
            <c:numRef>
              <c:f>'400250G5'!$P$7:$P$8</c:f>
              <c:numCache>
                <c:formatCode>General</c:formatCode>
                <c:ptCount val="2"/>
                <c:pt idx="0">
                  <c:v>0</c:v>
                </c:pt>
                <c:pt idx="1">
                  <c:v>1727.3587730154015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'400250G5'!$O$6</c:f>
              <c:numCache>
                <c:formatCode>0</c:formatCode>
                <c:ptCount val="1"/>
                <c:pt idx="0">
                  <c:v>35</c:v>
                </c:pt>
              </c:numCache>
            </c:numRef>
          </c:xVal>
          <c:yVal>
            <c:numRef>
              <c:f>'400250G5'!$P$6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48096"/>
        <c:axId val="110550016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'400250G5'!$O$9:$O$10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'400250G5'!$P$9:$P$10</c:f>
              <c:numCache>
                <c:formatCode>General</c:formatCode>
                <c:ptCount val="2"/>
                <c:pt idx="0">
                  <c:v>0</c:v>
                </c:pt>
                <c:pt idx="1">
                  <c:v>384.94601517083248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9696"/>
        <c:axId val="6511232"/>
      </c:scatterChart>
      <c:valAx>
        <c:axId val="110548096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550016"/>
        <c:crossesAt val="0"/>
        <c:crossBetween val="midCat"/>
        <c:majorUnit val="100"/>
      </c:valAx>
      <c:valAx>
        <c:axId val="110550016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0687830687830699E-3"/>
              <c:y val="0.4102631172839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548096"/>
        <c:crosses val="autoZero"/>
        <c:crossBetween val="midCat"/>
        <c:majorUnit val="200"/>
        <c:minorUnit val="10"/>
      </c:valAx>
      <c:valAx>
        <c:axId val="650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511232"/>
        <c:crosses val="autoZero"/>
        <c:crossBetween val="midCat"/>
      </c:valAx>
      <c:valAx>
        <c:axId val="6511232"/>
        <c:scaling>
          <c:orientation val="minMax"/>
          <c:max val="475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509696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696"/>
          <c:h val="0.738209094421594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'400250G5'!$O$41</c:f>
              <c:numCache>
                <c:formatCode>0</c:formatCode>
                <c:ptCount val="1"/>
                <c:pt idx="0">
                  <c:v>35</c:v>
                </c:pt>
              </c:numCache>
            </c:numRef>
          </c:xVal>
          <c:yVal>
            <c:numRef>
              <c:f>'400250G5'!$P$42</c:f>
              <c:numCache>
                <c:formatCode>0.00</c:formatCode>
                <c:ptCount val="1"/>
                <c:pt idx="0">
                  <c:v>1.6505972203085946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2.796451576606223</c:v>
              </c:pt>
              <c:pt idx="1">
                <c:v>3.9603583584110642</c:v>
              </c:pt>
              <c:pt idx="2">
                <c:v>5.4568099350172874</c:v>
              </c:pt>
              <c:pt idx="3">
                <c:v>7.2858063064248917</c:v>
              </c:pt>
              <c:pt idx="4">
                <c:v>9.4473474726338171</c:v>
              </c:pt>
              <c:pt idx="5">
                <c:v>11.94143343364426</c:v>
              </c:pt>
              <c:pt idx="6">
                <c:v>14.768064189456</c:v>
              </c:pt>
              <c:pt idx="7">
                <c:v>17.927239740068959</c:v>
              </c:pt>
              <c:pt idx="8">
                <c:v>21.418960085483661</c:v>
              </c:pt>
              <c:pt idx="9">
                <c:v>25.243225225699572</c:v>
              </c:pt>
              <c:pt idx="10">
                <c:v>29.40003516071685</c:v>
              </c:pt>
              <c:pt idx="11">
                <c:v>33.889389890535497</c:v>
              </c:pt>
              <c:pt idx="12">
                <c:v>38.71128941515525</c:v>
              </c:pt>
              <c:pt idx="13">
                <c:v>43.865733734577461</c:v>
              </c:pt>
              <c:pt idx="14">
                <c:v>49.352722848800013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1.6513605606317681</c:v>
              </c:pt>
              <c:pt idx="1">
                <c:v>1.924640996678685</c:v>
              </c:pt>
              <c:pt idx="2">
                <c:v>2.276001557310452</c:v>
              </c:pt>
              <c:pt idx="3">
                <c:v>2.7054422425270408</c:v>
              </c:pt>
              <c:pt idx="4">
                <c:v>3.212963052328448</c:v>
              </c:pt>
              <c:pt idx="5">
                <c:v>3.7985639867147079</c:v>
              </c:pt>
              <c:pt idx="6">
                <c:v>4.4622450456858029</c:v>
              </c:pt>
              <c:pt idx="7">
                <c:v>5.2040062292417266</c:v>
              </c:pt>
              <c:pt idx="8">
                <c:v>6.0238475373824736</c:v>
              </c:pt>
              <c:pt idx="9">
                <c:v>6.9217689701080944</c:v>
              </c:pt>
              <c:pt idx="10">
                <c:v>7.8977705274184666</c:v>
              </c:pt>
              <c:pt idx="11">
                <c:v>8.9518522093138024</c:v>
              </c:pt>
              <c:pt idx="12">
                <c:v>10.084014015793899</c:v>
              </c:pt>
              <c:pt idx="13">
                <c:v>11.294255946858749</c:v>
              </c:pt>
              <c:pt idx="14">
                <c:v>12.58257800250861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2.2602314889952502</c:v>
              </c:pt>
              <c:pt idx="1">
                <c:v>3.0070782026581862</c:v>
              </c:pt>
              <c:pt idx="2">
                <c:v>3.9673096916534161</c:v>
              </c:pt>
              <c:pt idx="3">
                <c:v>5.1409259559808964</c:v>
              </c:pt>
              <c:pt idx="4">
                <c:v>6.5279269956406942</c:v>
              </c:pt>
              <c:pt idx="5">
                <c:v>8.1283128106327371</c:v>
              </c:pt>
              <c:pt idx="6">
                <c:v>9.9420834009570669</c:v>
              </c:pt>
              <c:pt idx="7">
                <c:v>11.96923876661366</c:v>
              </c:pt>
              <c:pt idx="8">
                <c:v>14.209778907602519</c:v>
              </c:pt>
              <c:pt idx="9">
                <c:v>16.66370382392348</c:v>
              </c:pt>
              <c:pt idx="10">
                <c:v>19.331013515577091</c:v>
              </c:pt>
              <c:pt idx="11">
                <c:v>22.211707982562729</c:v>
              </c:pt>
              <c:pt idx="12">
                <c:v>25.305787224880739</c:v>
              </c:pt>
              <c:pt idx="13">
                <c:v>28.613251242530971</c:v>
              </c:pt>
              <c:pt idx="14">
                <c:v>32.134100035513477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1.6025494058093519</c:v>
              </c:pt>
              <c:pt idx="1">
                <c:v>1.837865610327736</c:v>
              </c:pt>
              <c:pt idx="2">
                <c:v>2.1404150161370881</c:v>
              </c:pt>
              <c:pt idx="3">
                <c:v>2.5101976232374068</c:v>
              </c:pt>
              <c:pt idx="4">
                <c:v>2.9472134316286871</c:v>
              </c:pt>
              <c:pt idx="5">
                <c:v>3.4514624413109432</c:v>
              </c:pt>
              <c:pt idx="6">
                <c:v>4.0229446522841643</c:v>
              </c:pt>
              <c:pt idx="7">
                <c:v>4.661660064548351</c:v>
              </c:pt>
              <c:pt idx="8">
                <c:v>5.3676086781034646</c:v>
              </c:pt>
              <c:pt idx="9">
                <c:v>6.1407904929496704</c:v>
              </c:pt>
              <c:pt idx="10">
                <c:v>6.9812055090867116</c:v>
              </c:pt>
              <c:pt idx="11">
                <c:v>7.8888537265147702</c:v>
              </c:pt>
              <c:pt idx="12">
                <c:v>8.8637351452337896</c:v>
              </c:pt>
              <c:pt idx="13">
                <c:v>9.9058497652437776</c:v>
              </c:pt>
              <c:pt idx="14">
                <c:v>11.01519758654476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1.9522539227176829</c:v>
              </c:pt>
              <c:pt idx="1">
                <c:v>2.4595625292758361</c:v>
              </c:pt>
              <c:pt idx="2">
                <c:v>3.1118164519935321</c:v>
              </c:pt>
              <c:pt idx="3">
                <c:v>3.9090156908706781</c:v>
              </c:pt>
              <c:pt idx="4">
                <c:v>4.8511602459073231</c:v>
              </c:pt>
              <c:pt idx="5">
                <c:v>5.9382501171034434</c:v>
              </c:pt>
              <c:pt idx="6">
                <c:v>7.1702853044590444</c:v>
              </c:pt>
              <c:pt idx="7">
                <c:v>8.5472658079740871</c:v>
              </c:pt>
              <c:pt idx="8">
                <c:v>10.06919162764871</c:v>
              </c:pt>
              <c:pt idx="9">
                <c:v>11.736062763482741</c:v>
              </c:pt>
              <c:pt idx="10">
                <c:v>13.54787921547628</c:v>
              </c:pt>
              <c:pt idx="11">
                <c:v>15.504640983629301</c:v>
              </c:pt>
              <c:pt idx="12">
                <c:v>17.606348067941791</c:v>
              </c:pt>
              <c:pt idx="13">
                <c:v>19.853000468413839</c:v>
              </c:pt>
              <c:pt idx="14">
                <c:v>22.244598185045231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1.5548610216866821</c:v>
              </c:pt>
              <c:pt idx="1">
                <c:v>1.753086260776322</c:v>
              </c:pt>
              <c:pt idx="2">
                <c:v>2.0079472824630038</c:v>
              </c:pt>
              <c:pt idx="3">
                <c:v>2.3194440867467172</c:v>
              </c:pt>
              <c:pt idx="4">
                <c:v>2.6875766736275062</c:v>
              </c:pt>
              <c:pt idx="5">
                <c:v>3.1123450431052659</c:v>
              </c:pt>
              <c:pt idx="6">
                <c:v>3.5937491951801182</c:v>
              </c:pt>
              <c:pt idx="7">
                <c:v>4.1317891298520131</c:v>
              </c:pt>
              <c:pt idx="8">
                <c:v>4.7264648471209236</c:v>
              </c:pt>
              <c:pt idx="9">
                <c:v>5.3777763469868756</c:v>
              </c:pt>
              <c:pt idx="10">
                <c:v>6.0857236294499018</c:v>
              </c:pt>
              <c:pt idx="11">
                <c:v>6.8503066945099453</c:v>
              </c:pt>
              <c:pt idx="12">
                <c:v>7.6715255421670276</c:v>
              </c:pt>
              <c:pt idx="13">
                <c:v>8.5493801724211487</c:v>
              </c:pt>
              <c:pt idx="14">
                <c:v>9.4838705852723209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1.736345717283313</c:v>
              </c:pt>
              <c:pt idx="1">
                <c:v>2.0757257196147778</c:v>
              </c:pt>
              <c:pt idx="2">
                <c:v>2.5120714368980641</c:v>
              </c:pt>
              <c:pt idx="3">
                <c:v>3.0453828691332512</c:v>
              </c:pt>
              <c:pt idx="4">
                <c:v>3.6756600163202582</c:v>
              </c:pt>
              <c:pt idx="5">
                <c:v>4.4029028784591064</c:v>
              </c:pt>
              <c:pt idx="6">
                <c:v>5.2271114555498066</c:v>
              </c:pt>
              <c:pt idx="7">
                <c:v>6.1482857475923618</c:v>
              </c:pt>
              <c:pt idx="8">
                <c:v>7.1664257545867436</c:v>
              </c:pt>
              <c:pt idx="9">
                <c:v>8.2815314765330008</c:v>
              </c:pt>
              <c:pt idx="10">
                <c:v>9.4936029134311024</c:v>
              </c:pt>
              <c:pt idx="11">
                <c:v>10.802640065281119</c:v>
              </c:pt>
              <c:pt idx="12">
                <c:v>12.208642932082819</c:v>
              </c:pt>
              <c:pt idx="13">
                <c:v>13.71161151383645</c:v>
              </c:pt>
              <c:pt idx="14">
                <c:v>15.311545810542031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1.5371429166264821</c:v>
              </c:pt>
              <c:pt idx="1">
                <c:v>1.721587407335968</c:v>
              </c:pt>
              <c:pt idx="2">
                <c:v>1.9587303239624501</c:v>
              </c:pt>
              <c:pt idx="3">
                <c:v>2.2485716665059621</c:v>
              </c:pt>
              <c:pt idx="4">
                <c:v>2.5911114349664022</c:v>
              </c:pt>
              <c:pt idx="5">
                <c:v>2.9863496293438359</c:v>
              </c:pt>
              <c:pt idx="6">
                <c:v>3.4342862496383399</c:v>
              </c:pt>
              <c:pt idx="7">
                <c:v>3.9349212958498012</c:v>
              </c:pt>
              <c:pt idx="8">
                <c:v>4.4882547679782556</c:v>
              </c:pt>
              <c:pt idx="9">
                <c:v>5.0942866660236836</c:v>
              </c:pt>
              <c:pt idx="10">
                <c:v>5.7530169899861638</c:v>
              </c:pt>
              <c:pt idx="11">
                <c:v>6.4644457398656074</c:v>
              </c:pt>
              <c:pt idx="12">
                <c:v>7.2285729156620517</c:v>
              </c:pt>
              <c:pt idx="13">
                <c:v>8.0453985173754905</c:v>
              </c:pt>
              <c:pt idx="14">
                <c:v>8.9149225450059237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87904"/>
        <c:axId val="111600384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61248"/>
        <c:axId val="111602304"/>
      </c:scatterChart>
      <c:valAx>
        <c:axId val="110987904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600384"/>
        <c:crosses val="autoZero"/>
        <c:crossBetween val="midCat"/>
        <c:majorUnit val="100"/>
      </c:valAx>
      <c:valAx>
        <c:axId val="11160038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0987904"/>
        <c:crosses val="autoZero"/>
        <c:crossBetween val="midCat"/>
        <c:majorUnit val="1"/>
      </c:valAx>
      <c:valAx>
        <c:axId val="11160230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7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2661248"/>
        <c:crosses val="max"/>
        <c:crossBetween val="midCat"/>
      </c:valAx>
      <c:valAx>
        <c:axId val="11266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6023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1099" l="0.70000000000000095" r="0.70000000000000095" t="0.75000000000001099" header="0.3" footer="0.3"/>
    <c:pageSetup paperSize="9" orientation="landscape" horizontalDpi="-3" verticalDpi="0"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'400250G6'!$N$28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1750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'400250G6'!$N$30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'400250G6'!$Q$29:$Q$30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'400250G6'!$N$32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'400250G6'!$Q$31:$Q$32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'400250G6'!$N$34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'400250G6'!$Q$33:$Q$34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'400250G6'!$N$36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'400250G6'!$Q$35:$Q$36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'400250G6'!$N$38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'400250G6'!$Q$37:$Q$38</c:f>
              <c:numCache>
                <c:formatCode>0</c:formatCode>
                <c:ptCount val="2"/>
                <c:pt idx="0">
                  <c:v>62.379041247817234</c:v>
                </c:pt>
                <c:pt idx="1">
                  <c:v>520</c:v>
                </c:pt>
              </c:numCache>
            </c:numRef>
          </c:xVal>
          <c:yVal>
            <c:numRef>
              <c:f>'400250G6'!$R$37:$R$38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1144.0523968804569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85408"/>
        <c:axId val="11240806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'400250G6'!$P$36</c:f>
              <c:numCache>
                <c:formatCode>0.0</c:formatCode>
                <c:ptCount val="1"/>
                <c:pt idx="0">
                  <c:v>24.226989580747453</c:v>
                </c:pt>
              </c:numCache>
            </c:numRef>
          </c:xVal>
          <c:yVal>
            <c:numRef>
              <c:f>'400250G6'!$P$22</c:f>
              <c:numCache>
                <c:formatCode>0.00</c:formatCode>
                <c:ptCount val="1"/>
                <c:pt idx="0">
                  <c:v>92.460213049464627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20352"/>
        <c:axId val="112409984"/>
      </c:scatterChart>
      <c:valAx>
        <c:axId val="112385408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408064"/>
        <c:crossesAt val="0"/>
        <c:crossBetween val="midCat"/>
        <c:majorUnit val="100"/>
        <c:minorUnit val="100"/>
      </c:valAx>
      <c:valAx>
        <c:axId val="11240806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385408"/>
        <c:crosses val="autoZero"/>
        <c:crossBetween val="midCat"/>
        <c:majorUnit val="200"/>
        <c:minorUnit val="1"/>
      </c:valAx>
      <c:valAx>
        <c:axId val="112409984"/>
        <c:scaling>
          <c:orientation val="minMax"/>
          <c:max val="475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420352"/>
        <c:crosses val="max"/>
        <c:crossBetween val="midCat"/>
        <c:majorUnit val="50"/>
      </c:valAx>
      <c:valAx>
        <c:axId val="11242035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2409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'400250G6'!$N$37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'400250G6'!$O$37:$O$38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'400250G6'!$P$37:$P$38</c:f>
              <c:numCache>
                <c:formatCode>0.0</c:formatCode>
                <c:ptCount val="2"/>
                <c:pt idx="0">
                  <c:v>0</c:v>
                </c:pt>
                <c:pt idx="1">
                  <c:v>22.937192259983821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'400250G6'!$N$35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'400250G6'!$O$35:$O$36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'400250G6'!$P$35:$P$36</c:f>
              <c:numCache>
                <c:formatCode>0.0</c:formatCode>
                <c:ptCount val="2"/>
                <c:pt idx="0">
                  <c:v>0</c:v>
                </c:pt>
                <c:pt idx="1">
                  <c:v>24.226989580747453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'400250G6'!$N$33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'400250G6'!$O$33:$O$34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'400250G6'!$P$33:$P$34</c:f>
              <c:numCache>
                <c:formatCode>0.0</c:formatCode>
                <c:ptCount val="2"/>
                <c:pt idx="0">
                  <c:v>0</c:v>
                </c:pt>
                <c:pt idx="1">
                  <c:v>17.576989580747455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'400250G6'!$N$31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'400250G6'!$O$31:$O$32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'400250G6'!$P$31:$P$32</c:f>
              <c:numCache>
                <c:formatCode>0.0</c:formatCode>
                <c:ptCount val="2"/>
                <c:pt idx="0">
                  <c:v>0</c:v>
                </c:pt>
                <c:pt idx="1">
                  <c:v>14.251989580747452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'400250G6'!$N$29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'400250G6'!$O$29:$O$30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'400250G6'!$P$29:$P$30</c:f>
              <c:numCache>
                <c:formatCode>0.0</c:formatCode>
                <c:ptCount val="2"/>
                <c:pt idx="0">
                  <c:v>0</c:v>
                </c:pt>
                <c:pt idx="1">
                  <c:v>10.926989580747453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'400250G6'!$N$27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'400250G6'!$P$27:$P$28</c:f>
              <c:numCache>
                <c:formatCode>0.0</c:formatCode>
                <c:ptCount val="2"/>
                <c:pt idx="0">
                  <c:v>0</c:v>
                </c:pt>
                <c:pt idx="1">
                  <c:v>7.6019895807474533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87136"/>
        <c:axId val="113005696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'400250G6'!$P$23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09792"/>
        <c:axId val="113007616"/>
      </c:scatterChart>
      <c:valAx>
        <c:axId val="112987136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3005696"/>
        <c:crossesAt val="0"/>
        <c:crossBetween val="midCat"/>
        <c:majorUnit val="100"/>
        <c:minorUnit val="100"/>
      </c:valAx>
      <c:valAx>
        <c:axId val="11300569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987136"/>
        <c:crosses val="autoZero"/>
        <c:crossBetween val="midCat"/>
        <c:majorUnit val="5"/>
        <c:minorUnit val="1"/>
      </c:valAx>
      <c:valAx>
        <c:axId val="113007616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3009792"/>
        <c:crosses val="max"/>
        <c:crossBetween val="midCat"/>
        <c:majorUnit val="5"/>
      </c:valAx>
      <c:valAx>
        <c:axId val="11300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0076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'500351G1'!$O$1:$O$2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'500351G1'!$P$1:$P$2</c:f>
              <c:numCache>
                <c:formatCode>General</c:formatCode>
                <c:ptCount val="2"/>
                <c:pt idx="0">
                  <c:v>0</c:v>
                </c:pt>
                <c:pt idx="1">
                  <c:v>2284.1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'500351G1'!$O$3:$O$5</c:f>
              <c:numCache>
                <c:formatCode>General</c:formatCode>
                <c:ptCount val="3"/>
                <c:pt idx="0">
                  <c:v>10.927784102625253</c:v>
                </c:pt>
                <c:pt idx="1">
                  <c:v>420</c:v>
                </c:pt>
                <c:pt idx="2">
                  <c:v>650</c:v>
                </c:pt>
              </c:numCache>
            </c:numRef>
          </c:xVal>
          <c:yVal>
            <c:numRef>
              <c:f>'500351G1'!$P$3:$P$5</c:f>
              <c:numCache>
                <c:formatCode>General</c:formatCode>
                <c:ptCount val="3"/>
                <c:pt idx="0">
                  <c:v>0</c:v>
                </c:pt>
                <c:pt idx="1">
                  <c:v>1437.4797666633747</c:v>
                </c:pt>
                <c:pt idx="2">
                  <c:v>2250.7841052503491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'500351G1'!$O$7:$O$8</c:f>
              <c:numCache>
                <c:formatCode>General</c:formatCode>
                <c:ptCount val="2"/>
                <c:pt idx="0">
                  <c:v>6.2145767806701997</c:v>
                </c:pt>
                <c:pt idx="1">
                  <c:v>650</c:v>
                </c:pt>
              </c:numCache>
            </c:numRef>
          </c:xVal>
          <c:yVal>
            <c:numRef>
              <c:f>'500351G1'!$P$7:$P$8</c:f>
              <c:numCache>
                <c:formatCode>General</c:formatCode>
                <c:ptCount val="2"/>
                <c:pt idx="0">
                  <c:v>0</c:v>
                </c:pt>
                <c:pt idx="1">
                  <c:v>2262.2619771927248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'500351G1'!$O$6</c:f>
              <c:numCache>
                <c:formatCode>0</c:formatCode>
                <c:ptCount val="1"/>
                <c:pt idx="0">
                  <c:v>25</c:v>
                </c:pt>
              </c:numCache>
            </c:numRef>
          </c:xVal>
          <c:yVal>
            <c:numRef>
              <c:f>'500351G1'!$P$6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85344"/>
        <c:axId val="112714496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'500351G1'!$O$9:$O$10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'500351G1'!$P$9:$P$10</c:f>
              <c:numCache>
                <c:formatCode>General</c:formatCode>
                <c:ptCount val="2"/>
                <c:pt idx="0">
                  <c:v>0</c:v>
                </c:pt>
                <c:pt idx="1">
                  <c:v>502.43153900097053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16416"/>
        <c:axId val="113029504"/>
      </c:scatterChart>
      <c:valAx>
        <c:axId val="112585344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714496"/>
        <c:crossesAt val="0"/>
        <c:crossBetween val="midCat"/>
        <c:majorUnit val="100"/>
      </c:valAx>
      <c:valAx>
        <c:axId val="112714496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2.86904761904762E-3"/>
              <c:y val="0.39393081275720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585344"/>
        <c:crosses val="autoZero"/>
        <c:crossBetween val="midCat"/>
        <c:majorUnit val="200"/>
        <c:minorUnit val="10"/>
      </c:valAx>
      <c:valAx>
        <c:axId val="11271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029504"/>
        <c:crosses val="autoZero"/>
        <c:crossBetween val="midCat"/>
      </c:valAx>
      <c:valAx>
        <c:axId val="113029504"/>
        <c:scaling>
          <c:orientation val="minMax"/>
          <c:max val="63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716416"/>
        <c:crosses val="max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'100005G6'!$N$28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64.400000000000006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'100005G6'!$N$30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'100005G6'!$Q$29:$Q$30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'100005G6'!$N$32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'100005G6'!$Q$31:$Q$32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'100005G6'!$Q$33:$Q$34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'100005G6'!$N$36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'100005G6'!$Q$35:$Q$36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'100005G6'!$N$38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'100005G6'!$Q$37:$Q$38</c:f>
              <c:strCache>
                <c:ptCount val="2"/>
                <c:pt idx="0">
                  <c:v>N/A</c:v>
                </c:pt>
                <c:pt idx="1">
                  <c:v>1229</c:v>
                </c:pt>
              </c:strCache>
            </c:strRef>
          </c:xVal>
          <c:yVal>
            <c:numRef>
              <c:f>'100005G6'!$R$37:$R$38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'100005G6'!$N$40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'100005G6'!$Q$39:$Q$40</c:f>
              <c:numCache>
                <c:formatCode>0</c:formatCode>
                <c:ptCount val="2"/>
                <c:pt idx="0">
                  <c:v>319.15992014232762</c:v>
                </c:pt>
                <c:pt idx="1">
                  <c:v>1000</c:v>
                </c:pt>
              </c:numCache>
            </c:numRef>
          </c:xVal>
          <c:yVal>
            <c:numRef>
              <c:f>'100005G6'!$R$39:$R$40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31.318643673452932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28000"/>
        <c:axId val="8133427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'100005G6'!$P$36</c:f>
              <c:numCache>
                <c:formatCode>0.0</c:formatCode>
                <c:ptCount val="1"/>
                <c:pt idx="0">
                  <c:v>1.7635281066469191</c:v>
                </c:pt>
              </c:numCache>
            </c:numRef>
          </c:xVal>
          <c:yVal>
            <c:numRef>
              <c:f>'100005G6'!$P$22</c:f>
              <c:numCache>
                <c:formatCode>0.00</c:formatCode>
                <c:ptCount val="1"/>
                <c:pt idx="0">
                  <c:v>18.492042609892927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50656"/>
        <c:axId val="81336192"/>
      </c:scatterChart>
      <c:valAx>
        <c:axId val="8132800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1334272"/>
        <c:crossesAt val="0"/>
        <c:crossBetween val="midCat"/>
        <c:majorUnit val="200"/>
        <c:minorUnit val="100"/>
      </c:valAx>
      <c:valAx>
        <c:axId val="8133427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1328000"/>
        <c:crosses val="autoZero"/>
        <c:crossBetween val="midCat"/>
        <c:majorUnit val="10"/>
        <c:minorUnit val="1"/>
      </c:valAx>
      <c:valAx>
        <c:axId val="81336192"/>
        <c:scaling>
          <c:orientation val="minMax"/>
          <c:max val="18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350656"/>
        <c:crosses val="max"/>
        <c:crossBetween val="midCat"/>
        <c:majorUnit val="2"/>
      </c:valAx>
      <c:valAx>
        <c:axId val="813506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813361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'500351G1'!$O$41</c:f>
              <c:numCache>
                <c:formatCode>0</c:formatCode>
                <c:ptCount val="1"/>
                <c:pt idx="0">
                  <c:v>25</c:v>
                </c:pt>
              </c:numCache>
            </c:numRef>
          </c:xVal>
          <c:yVal>
            <c:numRef>
              <c:f>'500351G1'!$P$42</c:f>
              <c:numCache>
                <c:formatCode>0.00</c:formatCode>
                <c:ptCount val="1"/>
                <c:pt idx="0">
                  <c:v>1.7620439225029856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3.4010180135551371</c:v>
              </c:pt>
              <c:pt idx="1">
                <c:v>5.0351431352091884</c:v>
              </c:pt>
              <c:pt idx="2">
                <c:v>7.1361611487642724</c:v>
              </c:pt>
              <c:pt idx="3">
                <c:v>9.7040720542205481</c:v>
              </c:pt>
              <c:pt idx="4">
                <c:v>12.73887585157795</c:v>
              </c:pt>
              <c:pt idx="5">
                <c:v>16.240572540836489</c:v>
              </c:pt>
              <c:pt idx="6">
                <c:v>20.209162121996229</c:v>
              </c:pt>
              <c:pt idx="7">
                <c:v>24.64464459505708</c:v>
              </c:pt>
              <c:pt idx="8">
                <c:v>29.54701996001906</c:v>
              </c:pt>
              <c:pt idx="9">
                <c:v>34.916288216882137</c:v>
              </c:pt>
              <c:pt idx="10">
                <c:v>40.752449365645987</c:v>
              </c:pt>
              <c:pt idx="11">
                <c:v>47.055503406311857</c:v>
              </c:pt>
              <c:pt idx="12">
                <c:v>53.825450338878902</c:v>
              </c:pt>
              <c:pt idx="13">
                <c:v>61.062290163345999</c:v>
              </c:pt>
              <c:pt idx="14">
                <c:v>68.766022879714953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1.793310227126985</c:v>
              </c:pt>
              <c:pt idx="1">
                <c:v>2.1769959593368582</c:v>
              </c:pt>
              <c:pt idx="2">
                <c:v>2.6703061864638471</c:v>
              </c:pt>
              <c:pt idx="3">
                <c:v>3.2732409085079408</c:v>
              </c:pt>
              <c:pt idx="4">
                <c:v>3.985800125469122</c:v>
              </c:pt>
              <c:pt idx="5">
                <c:v>4.8079838373473729</c:v>
              </c:pt>
              <c:pt idx="6">
                <c:v>5.739792044142928</c:v>
              </c:pt>
              <c:pt idx="7">
                <c:v>6.7812247458553934</c:v>
              </c:pt>
              <c:pt idx="8">
                <c:v>7.9322819424850239</c:v>
              </c:pt>
              <c:pt idx="9">
                <c:v>9.1929636340317629</c:v>
              </c:pt>
              <c:pt idx="10">
                <c:v>10.56326982049562</c:v>
              </c:pt>
              <c:pt idx="11">
                <c:v>12.043200501876569</c:v>
              </c:pt>
              <c:pt idx="12">
                <c:v>13.632755678174631</c:v>
              </c:pt>
              <c:pt idx="13">
                <c:v>15.3319353493898</c:v>
              </c:pt>
              <c:pt idx="14">
                <c:v>17.140739515521751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2.6481650105493042</c:v>
              </c:pt>
              <c:pt idx="1">
                <c:v>3.696737796532116</c:v>
              </c:pt>
              <c:pt idx="2">
                <c:v>5.0449028070813746</c:v>
              </c:pt>
              <c:pt idx="3">
                <c:v>6.6926600421972067</c:v>
              </c:pt>
              <c:pt idx="4">
                <c:v>8.6400095018795309</c:v>
              </c:pt>
              <c:pt idx="5">
                <c:v>10.886951186128369</c:v>
              </c:pt>
              <c:pt idx="6">
                <c:v>13.4334850949438</c:v>
              </c:pt>
              <c:pt idx="7">
                <c:v>16.279611228325582</c:v>
              </c:pt>
              <c:pt idx="8">
                <c:v>19.42532958627358</c:v>
              </c:pt>
              <c:pt idx="9">
                <c:v>22.870640168788839</c:v>
              </c:pt>
              <c:pt idx="10">
                <c:v>26.615542975870071</c:v>
              </c:pt>
              <c:pt idx="11">
                <c:v>30.660038007518139</c:v>
              </c:pt>
              <c:pt idx="12">
                <c:v>35.004125263732199</c:v>
              </c:pt>
              <c:pt idx="13">
                <c:v>39.647804744513437</c:v>
              </c:pt>
              <c:pt idx="14">
                <c:v>44.591076449860942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1.72477936575633</c:v>
              </c:pt>
              <c:pt idx="1">
                <c:v>2.0551633169001402</c:v>
              </c:pt>
              <c:pt idx="2">
                <c:v>2.4799426826564712</c:v>
              </c:pt>
              <c:pt idx="3">
                <c:v>2.9991174630253181</c:v>
              </c:pt>
              <c:pt idx="4">
                <c:v>3.6126876580066831</c:v>
              </c:pt>
              <c:pt idx="5">
                <c:v>4.3206532676005658</c:v>
              </c:pt>
              <c:pt idx="6">
                <c:v>5.1230142918068982</c:v>
              </c:pt>
              <c:pt idx="7">
                <c:v>6.0197707306258854</c:v>
              </c:pt>
              <c:pt idx="8">
                <c:v>7.0109225840573197</c:v>
              </c:pt>
              <c:pt idx="9">
                <c:v>8.096469852101368</c:v>
              </c:pt>
              <c:pt idx="10">
                <c:v>9.2764125347577568</c:v>
              </c:pt>
              <c:pt idx="11">
                <c:v>10.550750632026819</c:v>
              </c:pt>
              <c:pt idx="12">
                <c:v>11.91948414390837</c:v>
              </c:pt>
              <c:pt idx="13">
                <c:v>13.38261307040235</c:v>
              </c:pt>
              <c:pt idx="14">
                <c:v>14.940137411508809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2.2157645074956211</c:v>
              </c:pt>
              <c:pt idx="1">
                <c:v>2.9280257911033081</c:v>
              </c:pt>
              <c:pt idx="2">
                <c:v>3.8437902985989409</c:v>
              </c:pt>
              <c:pt idx="3">
                <c:v>4.9630580299824416</c:v>
              </c:pt>
              <c:pt idx="4">
                <c:v>6.285828985253926</c:v>
              </c:pt>
              <c:pt idx="5">
                <c:v>7.8121031644132328</c:v>
              </c:pt>
              <c:pt idx="6">
                <c:v>9.5418805674604972</c:v>
              </c:pt>
              <c:pt idx="7">
                <c:v>11.475161194395669</c:v>
              </c:pt>
              <c:pt idx="8">
                <c:v>13.61194504521877</c:v>
              </c:pt>
              <c:pt idx="9">
                <c:v>15.95223211992991</c:v>
              </c:pt>
              <c:pt idx="10">
                <c:v>18.496022418528689</c:v>
              </c:pt>
              <c:pt idx="11">
                <c:v>21.243315941015521</c:v>
              </c:pt>
              <c:pt idx="12">
                <c:v>24.19411268739027</c:v>
              </c:pt>
              <c:pt idx="13">
                <c:v>27.348412657652929</c:v>
              </c:pt>
              <c:pt idx="14">
                <c:v>30.70621585180351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1.6578248744480999</c:v>
              </c:pt>
              <c:pt idx="1">
                <c:v>1.9361331101299559</c:v>
              </c:pt>
              <c:pt idx="2">
                <c:v>2.2939579845780571</c:v>
              </c:pt>
              <c:pt idx="3">
                <c:v>2.731299497792401</c:v>
              </c:pt>
              <c:pt idx="4">
                <c:v>3.2481576497730011</c:v>
              </c:pt>
              <c:pt idx="5">
                <c:v>3.8445324405198251</c:v>
              </c:pt>
              <c:pt idx="6">
                <c:v>4.5204238700328956</c:v>
              </c:pt>
              <c:pt idx="7">
                <c:v>5.2758319383122263</c:v>
              </c:pt>
              <c:pt idx="8">
                <c:v>6.1107566453577764</c:v>
              </c:pt>
              <c:pt idx="9">
                <c:v>7.0251979911696054</c:v>
              </c:pt>
              <c:pt idx="10">
                <c:v>8.0191559757476725</c:v>
              </c:pt>
              <c:pt idx="11">
                <c:v>9.0926305990920593</c:v>
              </c:pt>
              <c:pt idx="12">
                <c:v>10.245621861202499</c:v>
              </c:pt>
              <c:pt idx="13">
                <c:v>11.4781297620793</c:v>
              </c:pt>
              <c:pt idx="14">
                <c:v>12.790154301722341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1.91262938706577</c:v>
              </c:pt>
              <c:pt idx="1">
                <c:v>2.3891189103391381</c:v>
              </c:pt>
              <c:pt idx="2">
                <c:v>3.001748297404919</c:v>
              </c:pt>
              <c:pt idx="3">
                <c:v>3.7505175482631068</c:v>
              </c:pt>
              <c:pt idx="4">
                <c:v>4.6354266629136411</c:v>
              </c:pt>
              <c:pt idx="5">
                <c:v>5.6564756413565647</c:v>
              </c:pt>
              <c:pt idx="6">
                <c:v>6.8136644835919524</c:v>
              </c:pt>
              <c:pt idx="7">
                <c:v>8.1069931896196721</c:v>
              </c:pt>
              <c:pt idx="8">
                <c:v>9.536461759439808</c:v>
              </c:pt>
              <c:pt idx="9">
                <c:v>11.102070193052329</c:v>
              </c:pt>
              <c:pt idx="10">
                <c:v>12.80381849045725</c:v>
              </c:pt>
              <c:pt idx="11">
                <c:v>14.641706651654561</c:v>
              </c:pt>
              <c:pt idx="12">
                <c:v>16.615734676644269</c:v>
              </c:pt>
              <c:pt idx="13">
                <c:v>18.725902565426281</c:v>
              </c:pt>
              <c:pt idx="14">
                <c:v>20.972210318000862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1.6329486549435821</c:v>
              </c:pt>
              <c:pt idx="1">
                <c:v>1.891908719899698</c:v>
              </c:pt>
              <c:pt idx="2">
                <c:v>2.2248573748432792</c:v>
              </c:pt>
              <c:pt idx="3">
                <c:v>2.6317946197743232</c:v>
              </c:pt>
              <c:pt idx="4">
                <c:v>3.1127204546928291</c:v>
              </c:pt>
              <c:pt idx="5">
                <c:v>3.6676348795988001</c:v>
              </c:pt>
              <c:pt idx="6">
                <c:v>4.2965378944922303</c:v>
              </c:pt>
              <c:pt idx="7">
                <c:v>4.9994294993732034</c:v>
              </c:pt>
              <c:pt idx="8">
                <c:v>5.7763096942415464</c:v>
              </c:pt>
              <c:pt idx="9">
                <c:v>6.6271784790972248</c:v>
              </c:pt>
              <c:pt idx="10">
                <c:v>7.5520358539405654</c:v>
              </c:pt>
              <c:pt idx="11">
                <c:v>8.5508818187713267</c:v>
              </c:pt>
              <c:pt idx="12">
                <c:v>9.6237163735895237</c:v>
              </c:pt>
              <c:pt idx="13">
                <c:v>10.77053951839533</c:v>
              </c:pt>
              <c:pt idx="14">
                <c:v>11.99135125318832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84000"/>
        <c:axId val="11518592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98208"/>
        <c:axId val="115196288"/>
      </c:scatterChart>
      <c:valAx>
        <c:axId val="115184000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5185920"/>
        <c:crosses val="autoZero"/>
        <c:crossBetween val="midCat"/>
        <c:majorUnit val="100"/>
      </c:valAx>
      <c:valAx>
        <c:axId val="1151859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5184000"/>
        <c:crosses val="autoZero"/>
        <c:crossBetween val="midCat"/>
        <c:majorUnit val="1"/>
      </c:valAx>
      <c:valAx>
        <c:axId val="11519628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5198208"/>
        <c:crosses val="max"/>
        <c:crossBetween val="midCat"/>
      </c:valAx>
      <c:valAx>
        <c:axId val="11519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1962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'500351G2'!$N$28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2284.1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'500351G2'!$N$30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'500351G2'!$Q$29:$Q$30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'500351G2'!$N$32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'500351G2'!$Q$31:$Q$32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'500351G2'!$N$34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'500351G2'!$Q$33:$Q$34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'500351G2'!$N$36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'500351G2'!$Q$35:$Q$36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'500351G2'!$N$38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'500351G2'!$Q$37:$Q$38</c:f>
              <c:strCache>
                <c:ptCount val="2"/>
                <c:pt idx="0">
                  <c:v>N/A</c:v>
                </c:pt>
                <c:pt idx="1">
                  <c:v>551</c:v>
                </c:pt>
              </c:strCache>
            </c:strRef>
          </c:xVal>
          <c:yVal>
            <c:numRef>
              <c:f>'500351G2'!$R$37:$R$38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'500351G2'!$N$40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'500351G2'!$Q$39:$Q$40</c:f>
              <c:numCache>
                <c:formatCode>0</c:formatCode>
                <c:ptCount val="2"/>
                <c:pt idx="0">
                  <c:v>10.927784102625296</c:v>
                </c:pt>
                <c:pt idx="1">
                  <c:v>420</c:v>
                </c:pt>
              </c:numCache>
            </c:numRef>
          </c:xVal>
          <c:yVal>
            <c:numRef>
              <c:f>'500351G2'!$R$39:$R$40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1437.4797666633747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93472"/>
        <c:axId val="11280793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'500351G2'!$P$36</c:f>
              <c:numCache>
                <c:formatCode>0.0</c:formatCode>
                <c:ptCount val="1"/>
                <c:pt idx="0">
                  <c:v>40.350899148035012</c:v>
                </c:pt>
              </c:numCache>
            </c:numRef>
          </c:xVal>
          <c:yVal>
            <c:numRef>
              <c:f>'500351G2'!$P$22</c:f>
              <c:numCache>
                <c:formatCode>0.00</c:formatCode>
                <c:ptCount val="1"/>
                <c:pt idx="0">
                  <c:v>634.01288948204319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12032"/>
        <c:axId val="112809856"/>
      </c:scatterChart>
      <c:valAx>
        <c:axId val="112793472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807936"/>
        <c:crossesAt val="0"/>
        <c:crossBetween val="midCat"/>
        <c:majorUnit val="100"/>
        <c:minorUnit val="100"/>
      </c:valAx>
      <c:valAx>
        <c:axId val="112807936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2793472"/>
        <c:crosses val="autoZero"/>
        <c:crossBetween val="midCat"/>
        <c:majorUnit val="200"/>
        <c:minorUnit val="1"/>
      </c:valAx>
      <c:valAx>
        <c:axId val="112809856"/>
        <c:scaling>
          <c:orientation val="minMax"/>
          <c:max val="63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2812032"/>
        <c:crosses val="max"/>
        <c:crossBetween val="midCat"/>
        <c:majorUnit val="100"/>
      </c:valAx>
      <c:valAx>
        <c:axId val="11281203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28098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'500351G2'!$N$39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'500351G2'!$O$39:$O$40</c:f>
              <c:numCache>
                <c:formatCode>0</c:formatCode>
                <c:ptCount val="2"/>
                <c:pt idx="0">
                  <c:v>0</c:v>
                </c:pt>
                <c:pt idx="1">
                  <c:v>420</c:v>
                </c:pt>
              </c:numCache>
            </c:numRef>
          </c:xVal>
          <c:yVal>
            <c:numRef>
              <c:f>'500351G2'!$P$39:$P$40</c:f>
              <c:numCache>
                <c:formatCode>0.0</c:formatCode>
                <c:ptCount val="2"/>
                <c:pt idx="0">
                  <c:v>0</c:v>
                </c:pt>
                <c:pt idx="1">
                  <c:v>40.093748680268767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'500351G2'!$N$37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'500351G2'!$O$37:$O$38</c:f>
              <c:numCache>
                <c:formatCode>0</c:formatCode>
                <c:ptCount val="2"/>
                <c:pt idx="0">
                  <c:v>0</c:v>
                </c:pt>
                <c:pt idx="1">
                  <c:v>551.42857142857144</c:v>
                </c:pt>
              </c:numCache>
            </c:numRef>
          </c:xVal>
          <c:yVal>
            <c:numRef>
              <c:f>'500351G2'!$P$37:$P$38</c:f>
              <c:numCache>
                <c:formatCode>0.0</c:formatCode>
                <c:ptCount val="2"/>
                <c:pt idx="0">
                  <c:v>0</c:v>
                </c:pt>
                <c:pt idx="1">
                  <c:v>45.276755804706625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'500351G2'!$N$35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'500351G2'!$O$35:$O$36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'500351G2'!$P$35:$P$36</c:f>
              <c:numCache>
                <c:formatCode>0.0</c:formatCode>
                <c:ptCount val="2"/>
                <c:pt idx="0">
                  <c:v>0</c:v>
                </c:pt>
                <c:pt idx="1">
                  <c:v>40.350899148035012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'500351G2'!$N$33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'500351G2'!$O$33:$O$34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'500351G2'!$P$33:$P$34</c:f>
              <c:numCache>
                <c:formatCode>0.0</c:formatCode>
                <c:ptCount val="2"/>
                <c:pt idx="0">
                  <c:v>0</c:v>
                </c:pt>
                <c:pt idx="1">
                  <c:v>31.67131914803501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'500351G2'!$N$31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'500351G2'!$O$31:$O$32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'500351G2'!$P$31:$P$32</c:f>
              <c:numCache>
                <c:formatCode>0.0</c:formatCode>
                <c:ptCount val="2"/>
                <c:pt idx="0">
                  <c:v>0</c:v>
                </c:pt>
                <c:pt idx="1">
                  <c:v>22.991739148035013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'500351G2'!$N$29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'500351G2'!$O$29:$O$30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'500351G2'!$P$29:$P$30</c:f>
              <c:numCache>
                <c:formatCode>0.0</c:formatCode>
                <c:ptCount val="2"/>
                <c:pt idx="0">
                  <c:v>0</c:v>
                </c:pt>
                <c:pt idx="1">
                  <c:v>14.312159148035011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'500351G2'!$N$27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'500351G2'!$P$27:$P$28</c:f>
              <c:numCache>
                <c:formatCode>0.0</c:formatCode>
                <c:ptCount val="2"/>
                <c:pt idx="0">
                  <c:v>0</c:v>
                </c:pt>
                <c:pt idx="1">
                  <c:v>9.9723691480350105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00608"/>
        <c:axId val="11530688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'500351G2'!$O$23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'500351G2'!$P$23</c:f>
              <c:numCache>
                <c:formatCode>0.00</c:formatCode>
                <c:ptCount val="1"/>
                <c:pt idx="0">
                  <c:v>80.461320000000001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15072"/>
        <c:axId val="115308800"/>
      </c:scatterChart>
      <c:valAx>
        <c:axId val="115300608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5306880"/>
        <c:crossesAt val="0"/>
        <c:crossBetween val="midCat"/>
        <c:majorUnit val="100"/>
        <c:minorUnit val="100"/>
      </c:valAx>
      <c:valAx>
        <c:axId val="115306880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5300608"/>
        <c:crosses val="autoZero"/>
        <c:crossBetween val="midCat"/>
        <c:majorUnit val="10"/>
        <c:minorUnit val="1"/>
      </c:valAx>
      <c:valAx>
        <c:axId val="115308800"/>
        <c:scaling>
          <c:orientation val="minMax"/>
          <c:max val="80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5315072"/>
        <c:crosses val="max"/>
        <c:crossBetween val="midCat"/>
        <c:majorUnit val="10"/>
      </c:valAx>
      <c:valAx>
        <c:axId val="11531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3088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'500351G3'!$O$1:$O$2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'500351G3'!$P$1:$P$2</c:f>
              <c:numCache>
                <c:formatCode>General</c:formatCode>
                <c:ptCount val="2"/>
                <c:pt idx="0">
                  <c:v>0</c:v>
                </c:pt>
                <c:pt idx="1">
                  <c:v>2284.1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'500351G3'!$O$3:$O$5</c:f>
              <c:numCache>
                <c:formatCode>General</c:formatCode>
                <c:ptCount val="3"/>
                <c:pt idx="0">
                  <c:v>36.539622463467651</c:v>
                </c:pt>
                <c:pt idx="1">
                  <c:v>420</c:v>
                </c:pt>
                <c:pt idx="2">
                  <c:v>650</c:v>
                </c:pt>
              </c:numCache>
            </c:numRef>
          </c:xVal>
          <c:yVal>
            <c:numRef>
              <c:f>'500351G3'!$P$3:$P$5</c:f>
              <c:numCache>
                <c:formatCode>General</c:formatCode>
                <c:ptCount val="3"/>
                <c:pt idx="0">
                  <c:v>0</c:v>
                </c:pt>
                <c:pt idx="1">
                  <c:v>1347.4797666633747</c:v>
                </c:pt>
                <c:pt idx="2">
                  <c:v>2178.2841052503491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'500351G3'!$O$7:$O$8</c:f>
              <c:numCache>
                <c:formatCode>General</c:formatCode>
                <c:ptCount val="2"/>
                <c:pt idx="0">
                  <c:v>6.7849830937192337</c:v>
                </c:pt>
                <c:pt idx="1">
                  <c:v>650</c:v>
                </c:pt>
              </c:numCache>
            </c:numRef>
          </c:xVal>
          <c:yVal>
            <c:numRef>
              <c:f>'500351G3'!$P$7:$P$8</c:f>
              <c:numCache>
                <c:formatCode>General</c:formatCode>
                <c:ptCount val="2"/>
                <c:pt idx="0">
                  <c:v>0</c:v>
                </c:pt>
                <c:pt idx="1">
                  <c:v>2260.2575694086704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'500351G3'!$O$6</c:f>
              <c:numCache>
                <c:formatCode>0</c:formatCode>
                <c:ptCount val="1"/>
                <c:pt idx="0">
                  <c:v>26</c:v>
                </c:pt>
              </c:numCache>
            </c:numRef>
          </c:xVal>
          <c:yVal>
            <c:numRef>
              <c:f>'500351G3'!$P$6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06720"/>
        <c:axId val="11699404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'500351G3'!$O$9:$O$10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'500351G3'!$P$9:$P$10</c:f>
              <c:numCache>
                <c:formatCode>General</c:formatCode>
                <c:ptCount val="2"/>
                <c:pt idx="0">
                  <c:v>0</c:v>
                </c:pt>
                <c:pt idx="1">
                  <c:v>502.43153900097053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95968"/>
        <c:axId val="116997504"/>
      </c:scatterChart>
      <c:valAx>
        <c:axId val="115406720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6994048"/>
        <c:crossesAt val="0"/>
        <c:crossBetween val="midCat"/>
        <c:majorUnit val="100"/>
      </c:valAx>
      <c:valAx>
        <c:axId val="116994048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2.86904761904762E-3"/>
              <c:y val="0.39393081275720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5406720"/>
        <c:crosses val="autoZero"/>
        <c:crossBetween val="midCat"/>
        <c:majorUnit val="200"/>
        <c:minorUnit val="10"/>
      </c:valAx>
      <c:valAx>
        <c:axId val="11699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6997504"/>
        <c:crosses val="autoZero"/>
        <c:crossBetween val="midCat"/>
      </c:valAx>
      <c:valAx>
        <c:axId val="116997504"/>
        <c:scaling>
          <c:orientation val="minMax"/>
          <c:max val="63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6995968"/>
        <c:crosses val="max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6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'500351G3'!$O$41</c:f>
              <c:numCache>
                <c:formatCode>0</c:formatCode>
                <c:ptCount val="1"/>
                <c:pt idx="0">
                  <c:v>26</c:v>
                </c:pt>
              </c:numCache>
            </c:numRef>
          </c:xVal>
          <c:yVal>
            <c:numRef>
              <c:f>'500351G3'!$P$42</c:f>
              <c:numCache>
                <c:formatCode>0.00</c:formatCode>
                <c:ptCount val="1"/>
                <c:pt idx="0">
                  <c:v>1.7636673421980837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3.4010180135551371</c:v>
              </c:pt>
              <c:pt idx="1">
                <c:v>5.0351431352091884</c:v>
              </c:pt>
              <c:pt idx="2">
                <c:v>7.1361611487642724</c:v>
              </c:pt>
              <c:pt idx="3">
                <c:v>9.7040720542205481</c:v>
              </c:pt>
              <c:pt idx="4">
                <c:v>12.73887585157795</c:v>
              </c:pt>
              <c:pt idx="5">
                <c:v>16.240572540836489</c:v>
              </c:pt>
              <c:pt idx="6">
                <c:v>20.209162121996229</c:v>
              </c:pt>
              <c:pt idx="7">
                <c:v>24.64464459505708</c:v>
              </c:pt>
              <c:pt idx="8">
                <c:v>29.54701996001906</c:v>
              </c:pt>
              <c:pt idx="9">
                <c:v>34.916288216882137</c:v>
              </c:pt>
              <c:pt idx="10">
                <c:v>40.752449365645987</c:v>
              </c:pt>
              <c:pt idx="11">
                <c:v>47.055503406311857</c:v>
              </c:pt>
              <c:pt idx="12">
                <c:v>53.825450338878902</c:v>
              </c:pt>
              <c:pt idx="13">
                <c:v>61.062290163345999</c:v>
              </c:pt>
              <c:pt idx="14">
                <c:v>68.766022879714953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1.793310227126985</c:v>
              </c:pt>
              <c:pt idx="1">
                <c:v>2.1769959593368582</c:v>
              </c:pt>
              <c:pt idx="2">
                <c:v>2.6703061864638471</c:v>
              </c:pt>
              <c:pt idx="3">
                <c:v>3.2732409085079408</c:v>
              </c:pt>
              <c:pt idx="4">
                <c:v>3.985800125469122</c:v>
              </c:pt>
              <c:pt idx="5">
                <c:v>4.8079838373473729</c:v>
              </c:pt>
              <c:pt idx="6">
                <c:v>5.739792044142928</c:v>
              </c:pt>
              <c:pt idx="7">
                <c:v>6.7812247458553934</c:v>
              </c:pt>
              <c:pt idx="8">
                <c:v>7.9322819424850239</c:v>
              </c:pt>
              <c:pt idx="9">
                <c:v>9.1929636340317629</c:v>
              </c:pt>
              <c:pt idx="10">
                <c:v>10.56326982049562</c:v>
              </c:pt>
              <c:pt idx="11">
                <c:v>12.043200501876569</c:v>
              </c:pt>
              <c:pt idx="12">
                <c:v>13.632755678174631</c:v>
              </c:pt>
              <c:pt idx="13">
                <c:v>15.3319353493898</c:v>
              </c:pt>
              <c:pt idx="14">
                <c:v>17.140739515521751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2.6481650105493042</c:v>
              </c:pt>
              <c:pt idx="1">
                <c:v>3.696737796532116</c:v>
              </c:pt>
              <c:pt idx="2">
                <c:v>5.0449028070813746</c:v>
              </c:pt>
              <c:pt idx="3">
                <c:v>6.6926600421972067</c:v>
              </c:pt>
              <c:pt idx="4">
                <c:v>8.6400095018795309</c:v>
              </c:pt>
              <c:pt idx="5">
                <c:v>10.886951186128369</c:v>
              </c:pt>
              <c:pt idx="6">
                <c:v>13.4334850949438</c:v>
              </c:pt>
              <c:pt idx="7">
                <c:v>16.279611228325582</c:v>
              </c:pt>
              <c:pt idx="8">
                <c:v>19.42532958627358</c:v>
              </c:pt>
              <c:pt idx="9">
                <c:v>22.870640168788839</c:v>
              </c:pt>
              <c:pt idx="10">
                <c:v>26.615542975870071</c:v>
              </c:pt>
              <c:pt idx="11">
                <c:v>30.660038007518139</c:v>
              </c:pt>
              <c:pt idx="12">
                <c:v>35.004125263732199</c:v>
              </c:pt>
              <c:pt idx="13">
                <c:v>39.647804744513437</c:v>
              </c:pt>
              <c:pt idx="14">
                <c:v>44.591076449860942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1.72477936575633</c:v>
              </c:pt>
              <c:pt idx="1">
                <c:v>2.0551633169001402</c:v>
              </c:pt>
              <c:pt idx="2">
                <c:v>2.4799426826564712</c:v>
              </c:pt>
              <c:pt idx="3">
                <c:v>2.9991174630253181</c:v>
              </c:pt>
              <c:pt idx="4">
                <c:v>3.6126876580066831</c:v>
              </c:pt>
              <c:pt idx="5">
                <c:v>4.3206532676005658</c:v>
              </c:pt>
              <c:pt idx="6">
                <c:v>5.1230142918068982</c:v>
              </c:pt>
              <c:pt idx="7">
                <c:v>6.0197707306258854</c:v>
              </c:pt>
              <c:pt idx="8">
                <c:v>7.0109225840573197</c:v>
              </c:pt>
              <c:pt idx="9">
                <c:v>8.096469852101368</c:v>
              </c:pt>
              <c:pt idx="10">
                <c:v>9.2764125347577568</c:v>
              </c:pt>
              <c:pt idx="11">
                <c:v>10.550750632026819</c:v>
              </c:pt>
              <c:pt idx="12">
                <c:v>11.91948414390837</c:v>
              </c:pt>
              <c:pt idx="13">
                <c:v>13.38261307040235</c:v>
              </c:pt>
              <c:pt idx="14">
                <c:v>14.940137411508809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2.2157645074956211</c:v>
              </c:pt>
              <c:pt idx="1">
                <c:v>2.9280257911033081</c:v>
              </c:pt>
              <c:pt idx="2">
                <c:v>3.8437902985989409</c:v>
              </c:pt>
              <c:pt idx="3">
                <c:v>4.9630580299824416</c:v>
              </c:pt>
              <c:pt idx="4">
                <c:v>6.285828985253926</c:v>
              </c:pt>
              <c:pt idx="5">
                <c:v>7.8121031644132328</c:v>
              </c:pt>
              <c:pt idx="6">
                <c:v>9.5418805674604972</c:v>
              </c:pt>
              <c:pt idx="7">
                <c:v>11.475161194395669</c:v>
              </c:pt>
              <c:pt idx="8">
                <c:v>13.61194504521877</c:v>
              </c:pt>
              <c:pt idx="9">
                <c:v>15.95223211992991</c:v>
              </c:pt>
              <c:pt idx="10">
                <c:v>18.496022418528689</c:v>
              </c:pt>
              <c:pt idx="11">
                <c:v>21.243315941015521</c:v>
              </c:pt>
              <c:pt idx="12">
                <c:v>24.19411268739027</c:v>
              </c:pt>
              <c:pt idx="13">
                <c:v>27.348412657652929</c:v>
              </c:pt>
              <c:pt idx="14">
                <c:v>30.70621585180351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1.6578248744480999</c:v>
              </c:pt>
              <c:pt idx="1">
                <c:v>1.9361331101299559</c:v>
              </c:pt>
              <c:pt idx="2">
                <c:v>2.2939579845780571</c:v>
              </c:pt>
              <c:pt idx="3">
                <c:v>2.731299497792401</c:v>
              </c:pt>
              <c:pt idx="4">
                <c:v>3.2481576497730011</c:v>
              </c:pt>
              <c:pt idx="5">
                <c:v>3.8445324405198251</c:v>
              </c:pt>
              <c:pt idx="6">
                <c:v>4.5204238700328956</c:v>
              </c:pt>
              <c:pt idx="7">
                <c:v>5.2758319383122263</c:v>
              </c:pt>
              <c:pt idx="8">
                <c:v>6.1107566453577764</c:v>
              </c:pt>
              <c:pt idx="9">
                <c:v>7.0251979911696054</c:v>
              </c:pt>
              <c:pt idx="10">
                <c:v>8.0191559757476725</c:v>
              </c:pt>
              <c:pt idx="11">
                <c:v>9.0926305990920593</c:v>
              </c:pt>
              <c:pt idx="12">
                <c:v>10.245621861202499</c:v>
              </c:pt>
              <c:pt idx="13">
                <c:v>11.4781297620793</c:v>
              </c:pt>
              <c:pt idx="14">
                <c:v>12.790154301722341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1.91262938706577</c:v>
              </c:pt>
              <c:pt idx="1">
                <c:v>2.3891189103391381</c:v>
              </c:pt>
              <c:pt idx="2">
                <c:v>3.001748297404919</c:v>
              </c:pt>
              <c:pt idx="3">
                <c:v>3.7505175482631068</c:v>
              </c:pt>
              <c:pt idx="4">
                <c:v>4.6354266629136411</c:v>
              </c:pt>
              <c:pt idx="5">
                <c:v>5.6564756413565647</c:v>
              </c:pt>
              <c:pt idx="6">
                <c:v>6.8136644835919524</c:v>
              </c:pt>
              <c:pt idx="7">
                <c:v>8.1069931896196721</c:v>
              </c:pt>
              <c:pt idx="8">
                <c:v>9.536461759439808</c:v>
              </c:pt>
              <c:pt idx="9">
                <c:v>11.102070193052329</c:v>
              </c:pt>
              <c:pt idx="10">
                <c:v>12.80381849045725</c:v>
              </c:pt>
              <c:pt idx="11">
                <c:v>14.641706651654561</c:v>
              </c:pt>
              <c:pt idx="12">
                <c:v>16.615734676644269</c:v>
              </c:pt>
              <c:pt idx="13">
                <c:v>18.725902565426281</c:v>
              </c:pt>
              <c:pt idx="14">
                <c:v>20.972210318000862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1.6329486549435821</c:v>
              </c:pt>
              <c:pt idx="1">
                <c:v>1.891908719899698</c:v>
              </c:pt>
              <c:pt idx="2">
                <c:v>2.2248573748432792</c:v>
              </c:pt>
              <c:pt idx="3">
                <c:v>2.6317946197743232</c:v>
              </c:pt>
              <c:pt idx="4">
                <c:v>3.1127204546928291</c:v>
              </c:pt>
              <c:pt idx="5">
                <c:v>3.6676348795988001</c:v>
              </c:pt>
              <c:pt idx="6">
                <c:v>4.2965378944922303</c:v>
              </c:pt>
              <c:pt idx="7">
                <c:v>4.9994294993732034</c:v>
              </c:pt>
              <c:pt idx="8">
                <c:v>5.7763096942415464</c:v>
              </c:pt>
              <c:pt idx="9">
                <c:v>6.6271784790972248</c:v>
              </c:pt>
              <c:pt idx="10">
                <c:v>7.5520358539405654</c:v>
              </c:pt>
              <c:pt idx="11">
                <c:v>8.5508818187713267</c:v>
              </c:pt>
              <c:pt idx="12">
                <c:v>9.6237163735895237</c:v>
              </c:pt>
              <c:pt idx="13">
                <c:v>10.77053951839533</c:v>
              </c:pt>
              <c:pt idx="14">
                <c:v>11.99135125318832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46656"/>
        <c:axId val="11706112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65216"/>
        <c:axId val="117063040"/>
      </c:scatterChart>
      <c:valAx>
        <c:axId val="117046656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7061120"/>
        <c:crosses val="autoZero"/>
        <c:crossBetween val="midCat"/>
        <c:majorUnit val="100"/>
      </c:valAx>
      <c:valAx>
        <c:axId val="1170611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7046656"/>
        <c:crosses val="autoZero"/>
        <c:crossBetween val="midCat"/>
        <c:majorUnit val="1"/>
      </c:valAx>
      <c:valAx>
        <c:axId val="11706304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7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7065216"/>
        <c:crosses val="max"/>
        <c:crossBetween val="midCat"/>
      </c:valAx>
      <c:valAx>
        <c:axId val="11706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0630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'500351G4'!$N$28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2284.1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'500351G4'!$N$30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'500351G4'!$Q$29:$Q$30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'500351G4'!$N$32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'500351G4'!$Q$31:$Q$32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'500351G4'!$N$34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'500351G4'!$Q$33:$Q$34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'500351G4'!$N$36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'500351G4'!$Q$35:$Q$36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'500351G4'!$R$35:$R$36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'500351G4'!$N$38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'500351G4'!$Q$37:$Q$38</c:f>
              <c:strCache>
                <c:ptCount val="2"/>
                <c:pt idx="0">
                  <c:v>N/A</c:v>
                </c:pt>
                <c:pt idx="1">
                  <c:v>551</c:v>
                </c:pt>
              </c:strCache>
            </c:strRef>
          </c:xVal>
          <c:yVal>
            <c:numRef>
              <c:f>'500351G4'!$R$37:$R$38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'500351G4'!$N$40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'500351G4'!$Q$39:$Q$40</c:f>
              <c:numCache>
                <c:formatCode>0</c:formatCode>
                <c:ptCount val="2"/>
                <c:pt idx="0">
                  <c:v>36.539622463467644</c:v>
                </c:pt>
                <c:pt idx="1">
                  <c:v>420</c:v>
                </c:pt>
              </c:numCache>
            </c:numRef>
          </c:xVal>
          <c:yVal>
            <c:numRef>
              <c:f>'500351G4'!$R$39:$R$40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1347.4797666633747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63136"/>
        <c:axId val="11716505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'500351G4'!$P$36</c:f>
              <c:numCache>
                <c:formatCode>0.0</c:formatCode>
                <c:ptCount val="1"/>
                <c:pt idx="0">
                  <c:v>40.350899148035012</c:v>
                </c:pt>
              </c:numCache>
            </c:numRef>
          </c:xVal>
          <c:yVal>
            <c:numRef>
              <c:f>'500351G4'!$P$22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73248"/>
        <c:axId val="117171328"/>
      </c:scatterChart>
      <c:valAx>
        <c:axId val="117163136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165056"/>
        <c:crossesAt val="0"/>
        <c:crossBetween val="midCat"/>
        <c:majorUnit val="100"/>
        <c:minorUnit val="100"/>
      </c:valAx>
      <c:valAx>
        <c:axId val="117165056"/>
        <c:scaling>
          <c:orientation val="minMax"/>
          <c:max val="2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163136"/>
        <c:crosses val="autoZero"/>
        <c:crossBetween val="midCat"/>
        <c:majorUnit val="200"/>
        <c:minorUnit val="1"/>
      </c:valAx>
      <c:valAx>
        <c:axId val="117171328"/>
        <c:scaling>
          <c:orientation val="minMax"/>
          <c:max val="63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173248"/>
        <c:crosses val="max"/>
        <c:crossBetween val="midCat"/>
        <c:majorUnit val="100"/>
      </c:valAx>
      <c:valAx>
        <c:axId val="1171732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71713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'500351G4'!$N$39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'500351G4'!$O$39:$O$40</c:f>
              <c:numCache>
                <c:formatCode>0</c:formatCode>
                <c:ptCount val="2"/>
                <c:pt idx="0">
                  <c:v>0</c:v>
                </c:pt>
                <c:pt idx="1">
                  <c:v>420</c:v>
                </c:pt>
              </c:numCache>
            </c:numRef>
          </c:xVal>
          <c:yVal>
            <c:numRef>
              <c:f>'500351G4'!$P$39:$P$40</c:f>
              <c:numCache>
                <c:formatCode>0.0</c:formatCode>
                <c:ptCount val="2"/>
                <c:pt idx="0">
                  <c:v>0</c:v>
                </c:pt>
                <c:pt idx="1">
                  <c:v>40.093748680268767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'500351G4'!$N$37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'500351G4'!$O$37:$O$38</c:f>
              <c:numCache>
                <c:formatCode>0</c:formatCode>
                <c:ptCount val="2"/>
                <c:pt idx="0">
                  <c:v>0</c:v>
                </c:pt>
                <c:pt idx="1">
                  <c:v>551.42857142857144</c:v>
                </c:pt>
              </c:numCache>
            </c:numRef>
          </c:xVal>
          <c:yVal>
            <c:numRef>
              <c:f>'500351G4'!$P$37:$P$38</c:f>
              <c:numCache>
                <c:formatCode>0.0</c:formatCode>
                <c:ptCount val="2"/>
                <c:pt idx="0">
                  <c:v>0</c:v>
                </c:pt>
                <c:pt idx="1">
                  <c:v>45.276755804706625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'500351G4'!$N$35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'500351G4'!$O$35:$O$36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'500351G4'!$P$35:$P$36</c:f>
              <c:numCache>
                <c:formatCode>0.0</c:formatCode>
                <c:ptCount val="2"/>
                <c:pt idx="0">
                  <c:v>0</c:v>
                </c:pt>
                <c:pt idx="1">
                  <c:v>40.350899148035012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'500351G4'!$N$33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'500351G4'!$O$33:$O$34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'500351G4'!$P$33:$P$34</c:f>
              <c:numCache>
                <c:formatCode>0.0</c:formatCode>
                <c:ptCount val="2"/>
                <c:pt idx="0">
                  <c:v>0</c:v>
                </c:pt>
                <c:pt idx="1">
                  <c:v>31.67131914803501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'500351G4'!$N$31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'500351G4'!$O$31:$O$32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'500351G4'!$P$31:$P$32</c:f>
              <c:numCache>
                <c:formatCode>0.0</c:formatCode>
                <c:ptCount val="2"/>
                <c:pt idx="0">
                  <c:v>0</c:v>
                </c:pt>
                <c:pt idx="1">
                  <c:v>22.991739148035013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'500351G4'!$N$29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'500351G4'!$O$29:$O$30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'500351G4'!$P$29:$P$30</c:f>
              <c:numCache>
                <c:formatCode>0.0</c:formatCode>
                <c:ptCount val="2"/>
                <c:pt idx="0">
                  <c:v>0</c:v>
                </c:pt>
                <c:pt idx="1">
                  <c:v>14.312159148035011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'500351G4'!$N$27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'500351G4'!$O$27:$O$28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'500351G4'!$P$27:$P$28</c:f>
              <c:numCache>
                <c:formatCode>0.0</c:formatCode>
                <c:ptCount val="2"/>
                <c:pt idx="0">
                  <c:v>0</c:v>
                </c:pt>
                <c:pt idx="1">
                  <c:v>9.9723691480350105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7728"/>
        <c:axId val="117259648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'500351G4'!$O$23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'500351G4'!$P$23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71936"/>
        <c:axId val="117270016"/>
      </c:scatterChart>
      <c:valAx>
        <c:axId val="117257728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259648"/>
        <c:crossesAt val="0"/>
        <c:crossBetween val="midCat"/>
        <c:majorUnit val="100"/>
        <c:minorUnit val="100"/>
      </c:valAx>
      <c:valAx>
        <c:axId val="117259648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257728"/>
        <c:crosses val="autoZero"/>
        <c:crossBetween val="midCat"/>
        <c:majorUnit val="10"/>
        <c:minorUnit val="1"/>
      </c:valAx>
      <c:valAx>
        <c:axId val="117270016"/>
        <c:scaling>
          <c:orientation val="minMax"/>
          <c:max val="80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271936"/>
        <c:crosses val="max"/>
        <c:crossBetween val="midCat"/>
        <c:majorUnit val="10"/>
      </c:valAx>
      <c:valAx>
        <c:axId val="11727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270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'500525G1'!$O$1:$O$2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'500525G1'!$P$1:$P$2</c:f>
              <c:numCache>
                <c:formatCode>General</c:formatCode>
                <c:ptCount val="2"/>
                <c:pt idx="0">
                  <c:v>0</c:v>
                </c:pt>
                <c:pt idx="1">
                  <c:v>3412.5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'500525G1'!$O$3:$O$5</c:f>
              <c:numCache>
                <c:formatCode>General</c:formatCode>
                <c:ptCount val="3"/>
                <c:pt idx="0">
                  <c:v>8.7161094778098231</c:v>
                </c:pt>
                <c:pt idx="1">
                  <c:v>420</c:v>
                </c:pt>
                <c:pt idx="2">
                  <c:v>650</c:v>
                </c:pt>
              </c:numCache>
            </c:numRef>
          </c:xVal>
          <c:yVal>
            <c:numRef>
              <c:f>'500525G1'!$P$3:$P$5</c:f>
              <c:numCache>
                <c:formatCode>General</c:formatCode>
                <c:ptCount val="3"/>
                <c:pt idx="0">
                  <c:v>0</c:v>
                </c:pt>
                <c:pt idx="1">
                  <c:v>2159.2404252414985</c:v>
                </c:pt>
                <c:pt idx="2">
                  <c:v>3373.2626626756655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'500525G1'!$O$7:$O$8</c:f>
              <c:numCache>
                <c:formatCode>General</c:formatCode>
                <c:ptCount val="2"/>
                <c:pt idx="0">
                  <c:v>6.2411933402350996</c:v>
                </c:pt>
                <c:pt idx="1">
                  <c:v>650</c:v>
                </c:pt>
              </c:numCache>
            </c:numRef>
          </c:xVal>
          <c:yVal>
            <c:numRef>
              <c:f>'500525G1'!$P$7:$P$8</c:f>
              <c:numCache>
                <c:formatCode>General</c:formatCode>
                <c:ptCount val="2"/>
                <c:pt idx="0">
                  <c:v>0</c:v>
                </c:pt>
                <c:pt idx="1">
                  <c:v>3379.733734963766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'500525G1'!$O$6</c:f>
              <c:numCache>
                <c:formatCode>0</c:formatCode>
                <c:ptCount val="1"/>
                <c:pt idx="0">
                  <c:v>19</c:v>
                </c:pt>
              </c:numCache>
            </c:numRef>
          </c:xVal>
          <c:yVal>
            <c:numRef>
              <c:f>'500525G1'!$P$6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86304"/>
        <c:axId val="11678822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'500525G1'!$O$9:$O$10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'500525G1'!$P$9:$P$10</c:f>
              <c:numCache>
                <c:formatCode>General</c:formatCode>
                <c:ptCount val="2"/>
                <c:pt idx="0">
                  <c:v>0</c:v>
                </c:pt>
                <c:pt idx="1">
                  <c:v>750.64472958312331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02688"/>
        <c:axId val="116804224"/>
      </c:scatterChart>
      <c:valAx>
        <c:axId val="116786304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6788224"/>
        <c:crossesAt val="0"/>
        <c:crossBetween val="midCat"/>
        <c:majorUnit val="100"/>
      </c:valAx>
      <c:valAx>
        <c:axId val="116788224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69179894179899E-4"/>
              <c:y val="0.42659542181069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6786304"/>
        <c:crosses val="autoZero"/>
        <c:crossBetween val="midCat"/>
        <c:majorUnit val="500"/>
        <c:minorUnit val="10"/>
      </c:valAx>
      <c:valAx>
        <c:axId val="11680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6804224"/>
        <c:crosses val="autoZero"/>
        <c:crossBetween val="midCat"/>
      </c:valAx>
      <c:valAx>
        <c:axId val="116804224"/>
        <c:scaling>
          <c:orientation val="minMax"/>
          <c:max val="924.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6802688"/>
        <c:crosses val="max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2.372287541145655</c:v>
              </c:pt>
              <c:pt idx="1">
                <c:v>3.2062889620367212</c:v>
              </c:pt>
              <c:pt idx="2">
                <c:v>4.2785765031823804</c:v>
              </c:pt>
              <c:pt idx="3">
                <c:v>5.5891501645826533</c:v>
              </c:pt>
              <c:pt idx="4">
                <c:v>7.1380099462374336</c:v>
              </c:pt>
              <c:pt idx="5">
                <c:v>8.9251558481468827</c:v>
              </c:pt>
              <c:pt idx="6">
                <c:v>10.95058787031102</c:v>
              </c:pt>
              <c:pt idx="7">
                <c:v>13.21430601272951</c:v>
              </c:pt>
              <c:pt idx="8">
                <c:v>15.7163102754027</c:v>
              </c:pt>
              <c:pt idx="9">
                <c:v>18.45660065833049</c:v>
              </c:pt>
              <c:pt idx="10">
                <c:v>21.435177161512861</c:v>
              </c:pt>
              <c:pt idx="11">
                <c:v>24.652039784949789</c:v>
              </c:pt>
              <c:pt idx="12">
                <c:v>28.107188528641402</c:v>
              </c:pt>
              <c:pt idx="13">
                <c:v>31.800623392587521</c:v>
              </c:pt>
              <c:pt idx="14">
                <c:v>35.732344376788262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1.6167355435479851</c:v>
              </c:pt>
              <c:pt idx="1">
                <c:v>1.8630854107519741</c:v>
              </c:pt>
              <c:pt idx="2">
                <c:v>2.1798209542999589</c:v>
              </c:pt>
              <c:pt idx="3">
                <c:v>2.5669421741919392</c:v>
              </c:pt>
              <c:pt idx="4">
                <c:v>3.0244490704279201</c:v>
              </c:pt>
              <c:pt idx="5">
                <c:v>3.552341643007896</c:v>
              </c:pt>
              <c:pt idx="6">
                <c:v>4.1506198919318704</c:v>
              </c:pt>
              <c:pt idx="7">
                <c:v>4.8192838171998371</c:v>
              </c:pt>
              <c:pt idx="8">
                <c:v>5.5583334188118023</c:v>
              </c:pt>
              <c:pt idx="9">
                <c:v>6.3677686967677651</c:v>
              </c:pt>
              <c:pt idx="10">
                <c:v>7.2475896510676936</c:v>
              </c:pt>
              <c:pt idx="11">
                <c:v>8.1977962817116801</c:v>
              </c:pt>
              <c:pt idx="12">
                <c:v>9.218388588699618</c:v>
              </c:pt>
              <c:pt idx="13">
                <c:v>10.30936657203158</c:v>
              </c:pt>
              <c:pt idx="14">
                <c:v>11.470730231707661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2.018479719151951</c:v>
              </c:pt>
              <c:pt idx="1">
                <c:v>2.5772972784924</c:v>
              </c:pt>
              <c:pt idx="2">
                <c:v>3.2957769976443112</c:v>
              </c:pt>
              <c:pt idx="3">
                <c:v>4.1739188766077309</c:v>
              </c:pt>
              <c:pt idx="4">
                <c:v>5.2117229153829019</c:v>
              </c:pt>
              <c:pt idx="5">
                <c:v>6.4091891139694424</c:v>
              </c:pt>
              <c:pt idx="6">
                <c:v>7.7663174723675654</c:v>
              </c:pt>
              <c:pt idx="7">
                <c:v>9.2831079905772427</c:v>
              </c:pt>
              <c:pt idx="8">
                <c:v>10.959560668598471</c:v>
              </c:pt>
              <c:pt idx="9">
                <c:v>12.79567550643123</c:v>
              </c:pt>
              <c:pt idx="10">
                <c:v>14.791452504075529</c:v>
              </c:pt>
              <c:pt idx="11">
                <c:v>16.946891661531389</c:v>
              </c:pt>
              <c:pt idx="12">
                <c:v>19.261992978798791</c:v>
              </c:pt>
              <c:pt idx="13">
                <c:v>21.736756455877732</c:v>
              </c:pt>
              <c:pt idx="14">
                <c:v>24.37118209276823</c:v>
              </c:pt>
            </c:numLit>
          </c:yVal>
          <c:smooth val="1"/>
        </c:ser>
        <c:ser>
          <c:idx val="3"/>
          <c:order val="3"/>
          <c:tx>
            <c:v>50000cP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3.2711505299909032</c:v>
              </c:pt>
              <c:pt idx="1">
                <c:v>4.8042676088727161</c:v>
              </c:pt>
              <c:pt idx="2">
                <c:v>6.7754181388636203</c:v>
              </c:pt>
              <c:pt idx="3">
                <c:v>9.1846021199636247</c:v>
              </c:pt>
              <c:pt idx="4">
                <c:v>12.031819552172699</c:v>
              </c:pt>
              <c:pt idx="5">
                <c:v>15.31707043549085</c:v>
              </c:pt>
              <c:pt idx="6">
                <c:v>19.040354769918139</c:v>
              </c:pt>
              <c:pt idx="7">
                <c:v>23.20167255545449</c:v>
              </c:pt>
              <c:pt idx="8">
                <c:v>27.801023792099919</c:v>
              </c:pt>
              <c:pt idx="9">
                <c:v>32.838408479854436</c:v>
              </c:pt>
              <c:pt idx="10">
                <c:v>38.313826618717663</c:v>
              </c:pt>
              <c:pt idx="11">
                <c:v>44.227278208690763</c:v>
              </c:pt>
              <c:pt idx="12">
                <c:v>50.578763249772557</c:v>
              </c:pt>
              <c:pt idx="13">
                <c:v>57.368281741963337</c:v>
              </c:pt>
              <c:pt idx="14">
                <c:v>64.595833685263713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1.815270487597324</c:v>
              </c:pt>
              <c:pt idx="1">
                <c:v>2.2160364223952431</c:v>
              </c:pt>
              <c:pt idx="2">
                <c:v>2.7313069099925702</c:v>
              </c:pt>
              <c:pt idx="3">
                <c:v>3.361081950389301</c:v>
              </c:pt>
              <c:pt idx="4">
                <c:v>4.1053615435854356</c:v>
              </c:pt>
              <c:pt idx="5">
                <c:v>4.9641456895809766</c:v>
              </c:pt>
              <c:pt idx="6">
                <c:v>5.9374343883759266</c:v>
              </c:pt>
              <c:pt idx="7">
                <c:v>7.0252276399702804</c:v>
              </c:pt>
              <c:pt idx="8">
                <c:v>8.2275254443640371</c:v>
              </c:pt>
              <c:pt idx="9">
                <c:v>9.5443278015570971</c:v>
              </c:pt>
              <c:pt idx="10">
                <c:v>10.975634711549921</c:v>
              </c:pt>
              <c:pt idx="11">
                <c:v>12.521446174341749</c:v>
              </c:pt>
              <c:pt idx="12">
                <c:v>14.181762189933099</c:v>
              </c:pt>
              <c:pt idx="13">
                <c:v>15.95658275832408</c:v>
              </c:pt>
              <c:pt idx="14">
                <c:v>17.845907879514112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1.553063382645411</c:v>
              </c:pt>
              <c:pt idx="1">
                <c:v>1.7498904580362979</c:v>
              </c:pt>
              <c:pt idx="2">
                <c:v>2.0029538406817289</c:v>
              </c:pt>
              <c:pt idx="3">
                <c:v>2.3122535305816632</c:v>
              </c:pt>
              <c:pt idx="4">
                <c:v>2.6777895277361901</c:v>
              </c:pt>
              <c:pt idx="5">
                <c:v>3.099561832145227</c:v>
              </c:pt>
              <c:pt idx="6">
                <c:v>3.5775704438088032</c:v>
              </c:pt>
              <c:pt idx="7">
                <c:v>4.1118153627268663</c:v>
              </c:pt>
              <c:pt idx="8">
                <c:v>4.7022965888995714</c:v>
              </c:pt>
              <c:pt idx="9">
                <c:v>5.3490141223267607</c:v>
              </c:pt>
              <c:pt idx="10">
                <c:v>6.0519679630084866</c:v>
              </c:pt>
              <c:pt idx="11">
                <c:v>6.8111581109447572</c:v>
              </c:pt>
              <c:pt idx="12">
                <c:v>7.6265845661354383</c:v>
              </c:pt>
              <c:pt idx="13">
                <c:v>8.4982473285809093</c:v>
              </c:pt>
              <c:pt idx="14">
                <c:v>9.4261463982808067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1.6728103043997271</c:v>
              </c:pt>
              <c:pt idx="1">
                <c:v>1.962773874488396</c:v>
              </c:pt>
              <c:pt idx="2">
                <c:v>2.335584178888102</c:v>
              </c:pt>
              <c:pt idx="3">
                <c:v>2.7912412175988681</c:v>
              </c:pt>
              <c:pt idx="4">
                <c:v>3.3297449906206782</c:v>
              </c:pt>
              <c:pt idx="5">
                <c:v>3.9510954979535371</c:v>
              </c:pt>
              <c:pt idx="6">
                <c:v>4.6552927395974466</c:v>
              </c:pt>
              <c:pt idx="7">
                <c:v>5.4423367155524103</c:v>
              </c:pt>
              <c:pt idx="8">
                <c:v>6.3122274258184161</c:v>
              </c:pt>
              <c:pt idx="9">
                <c:v>7.264964870395378</c:v>
              </c:pt>
              <c:pt idx="10">
                <c:v>8.3005490492835747</c:v>
              </c:pt>
              <c:pt idx="11">
                <c:v>9.4189799624827071</c:v>
              </c:pt>
              <c:pt idx="12">
                <c:v>10.620257609992921</c:v>
              </c:pt>
              <c:pt idx="13">
                <c:v>11.904381991814169</c:v>
              </c:pt>
              <c:pt idx="14">
                <c:v>13.27135310794645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1.541372652838678</c:v>
              </c:pt>
              <c:pt idx="1">
                <c:v>1.729106938379886</c:v>
              </c:pt>
              <c:pt idx="2">
                <c:v>1.9704795912185811</c:v>
              </c:pt>
              <c:pt idx="3">
                <c:v>2.2654906113547439</c:v>
              </c:pt>
              <c:pt idx="4">
                <c:v>2.6141399987884042</c:v>
              </c:pt>
              <c:pt idx="5">
                <c:v>3.0164277535195452</c:v>
              </c:pt>
              <c:pt idx="6">
                <c:v>3.4723538755481731</c:v>
              </c:pt>
              <c:pt idx="7">
                <c:v>3.9819183648742782</c:v>
              </c:pt>
              <c:pt idx="8">
                <c:v>4.5451212214978884</c:v>
              </c:pt>
              <c:pt idx="9">
                <c:v>5.1619624454189781</c:v>
              </c:pt>
              <c:pt idx="10">
                <c:v>5.8324420366375476</c:v>
              </c:pt>
              <c:pt idx="11">
                <c:v>6.5565599951536582</c:v>
              </c:pt>
              <c:pt idx="12">
                <c:v>7.3343163209671456</c:v>
              </c:pt>
              <c:pt idx="13">
                <c:v>8.1657110140781857</c:v>
              </c:pt>
              <c:pt idx="14">
                <c:v>9.0507440744868095</c:v>
              </c:pt>
            </c:numLit>
          </c:yVal>
          <c:smooth val="1"/>
        </c:ser>
        <c:ser>
          <c:idx val="1"/>
          <c:order val="9"/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'500525G1'!$O$41</c:f>
              <c:numCache>
                <c:formatCode>0</c:formatCode>
                <c:ptCount val="1"/>
                <c:pt idx="0">
                  <c:v>19</c:v>
                </c:pt>
              </c:numCache>
            </c:numRef>
          </c:xVal>
          <c:yVal>
            <c:numRef>
              <c:f>'500525G1'!$P$42</c:f>
              <c:numCache>
                <c:formatCode>0.00</c:formatCode>
                <c:ptCount val="1"/>
                <c:pt idx="0">
                  <c:v>1.6048390919313364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61568"/>
        <c:axId val="116867840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71936"/>
        <c:axId val="116869760"/>
      </c:scatterChart>
      <c:valAx>
        <c:axId val="116861568"/>
        <c:scaling>
          <c:orientation val="minMax"/>
          <c:max val="65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6867840"/>
        <c:crosses val="autoZero"/>
        <c:crossBetween val="midCat"/>
        <c:majorUnit val="100"/>
      </c:valAx>
      <c:valAx>
        <c:axId val="116867840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6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6861568"/>
        <c:crosses val="autoZero"/>
        <c:crossBetween val="midCat"/>
        <c:majorUnit val="1"/>
      </c:valAx>
      <c:valAx>
        <c:axId val="11686976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6871936"/>
        <c:crosses val="max"/>
        <c:crossBetween val="midCat"/>
      </c:valAx>
      <c:valAx>
        <c:axId val="11687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6869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'500525G2'!$N$28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3412.5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'500525G2'!$N$30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'500525G2'!$Q$29:$Q$30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'500525G2'!$N$32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'500525G2'!$Q$31:$Q$32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'500525G2'!$N$34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'500525G2'!$Q$33:$Q$34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'500525G2'!$N$36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'500525G2'!$Q$35:$Q$36</c:f>
              <c:strCache>
                <c:ptCount val="2"/>
                <c:pt idx="0">
                  <c:v>N/A</c:v>
                </c:pt>
                <c:pt idx="1">
                  <c:v>604</c:v>
                </c:pt>
              </c:strCache>
            </c:strRef>
          </c:xVal>
          <c:yVal>
            <c:numRef>
              <c:f>'500525G2'!$R$35:$R$36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'500525G2'!$N$38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'500525G2'!$Q$37:$Q$38</c:f>
              <c:numCache>
                <c:formatCode>0</c:formatCode>
                <c:ptCount val="2"/>
                <c:pt idx="0">
                  <c:v>8.7161094778098303</c:v>
                </c:pt>
                <c:pt idx="1">
                  <c:v>420</c:v>
                </c:pt>
              </c:numCache>
            </c:numRef>
          </c:xVal>
          <c:yVal>
            <c:numRef>
              <c:f>'500525G2'!$R$37:$R$38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2159.2404252414985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85632"/>
        <c:axId val="11777382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'500525G2'!$P$36</c:f>
              <c:numCache>
                <c:formatCode>0.0</c:formatCode>
                <c:ptCount val="1"/>
                <c:pt idx="0">
                  <c:v>47.584010101317368</c:v>
                </c:pt>
              </c:numCache>
            </c:numRef>
          </c:xVal>
          <c:yVal>
            <c:numRef>
              <c:f>'500525G2'!$P$22</c:f>
              <c:numCache>
                <c:formatCode>0.00</c:formatCode>
                <c:ptCount val="1"/>
                <c:pt idx="0">
                  <c:v>924.6021304946463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82016"/>
        <c:axId val="117775744"/>
      </c:scatterChart>
      <c:valAx>
        <c:axId val="117685632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773824"/>
        <c:crossesAt val="0"/>
        <c:crossBetween val="midCat"/>
        <c:majorUnit val="100"/>
        <c:minorUnit val="100"/>
      </c:valAx>
      <c:valAx>
        <c:axId val="117773824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685632"/>
        <c:crosses val="autoZero"/>
        <c:crossBetween val="midCat"/>
        <c:majorUnit val="500"/>
        <c:minorUnit val="1"/>
      </c:valAx>
      <c:valAx>
        <c:axId val="117775744"/>
        <c:scaling>
          <c:orientation val="minMax"/>
          <c:max val="924.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782016"/>
        <c:crosses val="max"/>
        <c:crossBetween val="midCat"/>
        <c:majorUnit val="100"/>
      </c:valAx>
      <c:valAx>
        <c:axId val="11778201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77757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'100005G6'!$N$39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'100005G6'!$O$39:$O$40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'100005G6'!$P$39:$P$40</c:f>
              <c:numCache>
                <c:formatCode>0.0</c:formatCode>
                <c:ptCount val="2"/>
                <c:pt idx="0">
                  <c:v>0</c:v>
                </c:pt>
                <c:pt idx="1">
                  <c:v>1.6966629333192278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'100005G6'!$N$37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'100005G6'!$O$37:$O$38</c:f>
              <c:numCache>
                <c:formatCode>0</c:formatCode>
                <c:ptCount val="2"/>
                <c:pt idx="0">
                  <c:v>0</c:v>
                </c:pt>
                <c:pt idx="1">
                  <c:v>1228.5714285714287</c:v>
                </c:pt>
              </c:numCache>
            </c:numRef>
          </c:xVal>
          <c:yVal>
            <c:numRef>
              <c:f>'100005G6'!$P$37:$P$38</c:f>
              <c:numCache>
                <c:formatCode>0.0</c:formatCode>
                <c:ptCount val="2"/>
                <c:pt idx="0">
                  <c:v>0</c:v>
                </c:pt>
                <c:pt idx="1">
                  <c:v>1.869717318077909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'100005G6'!$N$35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'100005G6'!$O$35:$O$36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'100005G6'!$P$35:$P$36</c:f>
              <c:numCache>
                <c:formatCode>0.0</c:formatCode>
                <c:ptCount val="2"/>
                <c:pt idx="0">
                  <c:v>0</c:v>
                </c:pt>
                <c:pt idx="1">
                  <c:v>1.7635281066469191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'100005G6'!$N$33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'100005G6'!$O$33:$O$34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'100005G6'!$P$33:$P$34</c:f>
              <c:numCache>
                <c:formatCode>0.0</c:formatCode>
                <c:ptCount val="2"/>
                <c:pt idx="0">
                  <c:v>0</c:v>
                </c:pt>
                <c:pt idx="1">
                  <c:v>1.5188081066469192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'100005G6'!$N$31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'100005G6'!$O$31:$O$32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'100005G6'!$P$31:$P$32</c:f>
              <c:numCache>
                <c:formatCode>0.0</c:formatCode>
                <c:ptCount val="2"/>
                <c:pt idx="0">
                  <c:v>0</c:v>
                </c:pt>
                <c:pt idx="1">
                  <c:v>1.2740881066469192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'100005G6'!$N$29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'100005G6'!$O$29:$O$30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'100005G6'!$P$29:$P$30</c:f>
              <c:numCache>
                <c:formatCode>0.0</c:formatCode>
                <c:ptCount val="2"/>
                <c:pt idx="0">
                  <c:v>0</c:v>
                </c:pt>
                <c:pt idx="1">
                  <c:v>1.0293681066469191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'100005G6'!$N$27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'100005G6'!$P$27:$P$28</c:f>
              <c:numCache>
                <c:formatCode>0.0</c:formatCode>
                <c:ptCount val="2"/>
                <c:pt idx="0">
                  <c:v>0</c:v>
                </c:pt>
                <c:pt idx="1">
                  <c:v>0.90700810664691922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8016"/>
        <c:axId val="8140019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'100005G6'!$P$23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16576"/>
        <c:axId val="81402112"/>
      </c:scatterChart>
      <c:valAx>
        <c:axId val="81398016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1400192"/>
        <c:crossesAt val="0"/>
        <c:crossBetween val="midCat"/>
        <c:majorUnit val="200"/>
        <c:minorUnit val="100"/>
      </c:valAx>
      <c:valAx>
        <c:axId val="814001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1398016"/>
        <c:crosses val="autoZero"/>
        <c:crossBetween val="midCat"/>
        <c:majorUnit val="1"/>
        <c:minorUnit val="1"/>
      </c:valAx>
      <c:valAx>
        <c:axId val="81402112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416576"/>
        <c:crosses val="max"/>
        <c:crossBetween val="midCat"/>
        <c:majorUnit val="1"/>
      </c:valAx>
      <c:valAx>
        <c:axId val="8141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402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'500525G2'!$N$37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'500525G2'!$O$37:$O$38</c:f>
              <c:numCache>
                <c:formatCode>0</c:formatCode>
                <c:ptCount val="2"/>
                <c:pt idx="0">
                  <c:v>0</c:v>
                </c:pt>
                <c:pt idx="1">
                  <c:v>420</c:v>
                </c:pt>
              </c:numCache>
            </c:numRef>
          </c:xVal>
          <c:yVal>
            <c:numRef>
              <c:f>'500525G2'!$P$37:$P$38</c:f>
              <c:numCache>
                <c:formatCode>0.0</c:formatCode>
                <c:ptCount val="2"/>
                <c:pt idx="0">
                  <c:v>0</c:v>
                </c:pt>
                <c:pt idx="1">
                  <c:v>41.467218944624676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'500525G2'!$N$35</c:f>
              <c:strCache>
                <c:ptCount val="1"/>
                <c:pt idx="0">
                  <c:v>6 / 90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'500525G2'!$O$35:$O$36</c:f>
              <c:numCache>
                <c:formatCode>0</c:formatCode>
                <c:ptCount val="2"/>
                <c:pt idx="0">
                  <c:v>0</c:v>
                </c:pt>
                <c:pt idx="1">
                  <c:v>604</c:v>
                </c:pt>
              </c:numCache>
            </c:numRef>
          </c:xVal>
          <c:yVal>
            <c:numRef>
              <c:f>'500525G2'!$P$35:$P$36</c:f>
              <c:numCache>
                <c:formatCode>0.0</c:formatCode>
                <c:ptCount val="2"/>
                <c:pt idx="0">
                  <c:v>0</c:v>
                </c:pt>
                <c:pt idx="1">
                  <c:v>47.584010101317368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'500525G2'!$N$33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'500525G2'!$O$33:$O$34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'500525G2'!$P$33:$P$34</c:f>
              <c:numCache>
                <c:formatCode>0.0</c:formatCode>
                <c:ptCount val="2"/>
                <c:pt idx="0">
                  <c:v>0</c:v>
                </c:pt>
                <c:pt idx="1">
                  <c:v>38.240457890490553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'500525G2'!$N$31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'500525G2'!$O$31:$O$32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'500525G2'!$P$31:$P$32</c:f>
              <c:numCache>
                <c:formatCode>0.0</c:formatCode>
                <c:ptCount val="2"/>
                <c:pt idx="0">
                  <c:v>0</c:v>
                </c:pt>
                <c:pt idx="1">
                  <c:v>25.272957890490549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'500525G2'!$N$29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'500525G2'!$O$29:$O$30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'500525G2'!$P$29:$P$30</c:f>
              <c:numCache>
                <c:formatCode>0.0</c:formatCode>
                <c:ptCount val="2"/>
                <c:pt idx="0">
                  <c:v>0</c:v>
                </c:pt>
                <c:pt idx="1">
                  <c:v>18.789207890490555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'500525G2'!$N$27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'500525G2'!$P$27:$P$28</c:f>
              <c:numCache>
                <c:formatCode>0.0</c:formatCode>
                <c:ptCount val="2"/>
                <c:pt idx="0">
                  <c:v>0</c:v>
                </c:pt>
                <c:pt idx="1">
                  <c:v>12.305457890490555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36800"/>
        <c:axId val="117838976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'500525G2'!$P$23</c:f>
              <c:numCache>
                <c:formatCode>0.00</c:formatCode>
                <c:ptCount val="1"/>
                <c:pt idx="0">
                  <c:v>80.461320000000001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51264"/>
        <c:axId val="117840896"/>
      </c:scatterChart>
      <c:valAx>
        <c:axId val="117836800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838976"/>
        <c:crossesAt val="0"/>
        <c:crossBetween val="midCat"/>
        <c:majorUnit val="100"/>
        <c:minorUnit val="100"/>
      </c:valAx>
      <c:valAx>
        <c:axId val="117838976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836800"/>
        <c:crosses val="autoZero"/>
        <c:crossBetween val="midCat"/>
        <c:majorUnit val="10"/>
        <c:minorUnit val="1"/>
      </c:valAx>
      <c:valAx>
        <c:axId val="117840896"/>
        <c:scaling>
          <c:orientation val="minMax"/>
          <c:max val="80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7851264"/>
        <c:crosses val="max"/>
        <c:crossBetween val="midCat"/>
        <c:majorUnit val="10"/>
      </c:valAx>
      <c:valAx>
        <c:axId val="11785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8408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'500525G3'!$O$1:$O$2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'500525G3'!$P$1:$P$2</c:f>
              <c:numCache>
                <c:formatCode>General</c:formatCode>
                <c:ptCount val="2"/>
                <c:pt idx="0">
                  <c:v>0</c:v>
                </c:pt>
                <c:pt idx="1">
                  <c:v>3412.5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'500525G3'!$O$3:$O$5</c:f>
              <c:numCache>
                <c:formatCode>General</c:formatCode>
                <c:ptCount val="3"/>
                <c:pt idx="0">
                  <c:v>43.001823763524158</c:v>
                </c:pt>
                <c:pt idx="1">
                  <c:v>420</c:v>
                </c:pt>
                <c:pt idx="2">
                  <c:v>650</c:v>
                </c:pt>
              </c:numCache>
            </c:numRef>
          </c:xVal>
          <c:yVal>
            <c:numRef>
              <c:f>'500525G3'!$P$3:$P$5</c:f>
              <c:numCache>
                <c:formatCode>General</c:formatCode>
                <c:ptCount val="3"/>
                <c:pt idx="0">
                  <c:v>0</c:v>
                </c:pt>
                <c:pt idx="1">
                  <c:v>1979.2404252414983</c:v>
                </c:pt>
                <c:pt idx="2">
                  <c:v>3233.8876626756655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'500525G3'!$O$7:$O$8</c:f>
              <c:numCache>
                <c:formatCode>General</c:formatCode>
                <c:ptCount val="2"/>
                <c:pt idx="0">
                  <c:v>7.1002252476870353</c:v>
                </c:pt>
                <c:pt idx="1">
                  <c:v>650</c:v>
                </c:pt>
              </c:numCache>
            </c:numRef>
          </c:xVal>
          <c:yVal>
            <c:numRef>
              <c:f>'500525G3'!$P$7:$P$8</c:f>
              <c:numCache>
                <c:formatCode>General</c:formatCode>
                <c:ptCount val="2"/>
                <c:pt idx="0">
                  <c:v>0</c:v>
                </c:pt>
                <c:pt idx="1">
                  <c:v>3375.2238174496433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'500525G3'!$O$6</c:f>
              <c:numCache>
                <c:formatCode>0</c:formatCode>
                <c:ptCount val="1"/>
                <c:pt idx="0">
                  <c:v>20</c:v>
                </c:pt>
              </c:numCache>
            </c:numRef>
          </c:xVal>
          <c:yVal>
            <c:numRef>
              <c:f>'500525G3'!$P$6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69472"/>
        <c:axId val="10971212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'500525G3'!$O$9:$O$10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'500525G3'!$P$9:$P$10</c:f>
              <c:numCache>
                <c:formatCode>General</c:formatCode>
                <c:ptCount val="2"/>
                <c:pt idx="0">
                  <c:v>0</c:v>
                </c:pt>
                <c:pt idx="1">
                  <c:v>750.64472958312331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14048"/>
        <c:axId val="109719936"/>
      </c:scatterChart>
      <c:valAx>
        <c:axId val="117369472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712128"/>
        <c:crossesAt val="0"/>
        <c:crossBetween val="midCat"/>
        <c:majorUnit val="100"/>
      </c:valAx>
      <c:valAx>
        <c:axId val="109712128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69179894179899E-4"/>
              <c:y val="0.42659542181069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7369472"/>
        <c:crosses val="autoZero"/>
        <c:crossBetween val="midCat"/>
        <c:majorUnit val="500"/>
        <c:minorUnit val="10"/>
      </c:valAx>
      <c:valAx>
        <c:axId val="1097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719936"/>
        <c:crosses val="autoZero"/>
        <c:crossBetween val="midCat"/>
      </c:valAx>
      <c:valAx>
        <c:axId val="109719936"/>
        <c:scaling>
          <c:orientation val="minMax"/>
          <c:max val="924.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714048"/>
        <c:crosses val="max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2.372287541145655</c:v>
              </c:pt>
              <c:pt idx="1">
                <c:v>3.2062889620367212</c:v>
              </c:pt>
              <c:pt idx="2">
                <c:v>4.2785765031823804</c:v>
              </c:pt>
              <c:pt idx="3">
                <c:v>5.5891501645826533</c:v>
              </c:pt>
              <c:pt idx="4">
                <c:v>7.1380099462374336</c:v>
              </c:pt>
              <c:pt idx="5">
                <c:v>8.9251558481468827</c:v>
              </c:pt>
              <c:pt idx="6">
                <c:v>10.95058787031102</c:v>
              </c:pt>
              <c:pt idx="7">
                <c:v>13.21430601272951</c:v>
              </c:pt>
              <c:pt idx="8">
                <c:v>15.7163102754027</c:v>
              </c:pt>
              <c:pt idx="9">
                <c:v>18.45660065833049</c:v>
              </c:pt>
              <c:pt idx="10">
                <c:v>21.435177161512861</c:v>
              </c:pt>
              <c:pt idx="11">
                <c:v>24.652039784949789</c:v>
              </c:pt>
              <c:pt idx="12">
                <c:v>28.107188528641402</c:v>
              </c:pt>
              <c:pt idx="13">
                <c:v>31.800623392587521</c:v>
              </c:pt>
              <c:pt idx="14">
                <c:v>35.732344376788262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1.6167355435479851</c:v>
              </c:pt>
              <c:pt idx="1">
                <c:v>1.8630854107519741</c:v>
              </c:pt>
              <c:pt idx="2">
                <c:v>2.1798209542999589</c:v>
              </c:pt>
              <c:pt idx="3">
                <c:v>2.5669421741919392</c:v>
              </c:pt>
              <c:pt idx="4">
                <c:v>3.0244490704279201</c:v>
              </c:pt>
              <c:pt idx="5">
                <c:v>3.552341643007896</c:v>
              </c:pt>
              <c:pt idx="6">
                <c:v>4.1506198919318704</c:v>
              </c:pt>
              <c:pt idx="7">
                <c:v>4.8192838171998371</c:v>
              </c:pt>
              <c:pt idx="8">
                <c:v>5.5583334188118023</c:v>
              </c:pt>
              <c:pt idx="9">
                <c:v>6.3677686967677651</c:v>
              </c:pt>
              <c:pt idx="10">
                <c:v>7.2475896510676936</c:v>
              </c:pt>
              <c:pt idx="11">
                <c:v>8.1977962817116801</c:v>
              </c:pt>
              <c:pt idx="12">
                <c:v>9.218388588699618</c:v>
              </c:pt>
              <c:pt idx="13">
                <c:v>10.30936657203158</c:v>
              </c:pt>
              <c:pt idx="14">
                <c:v>11.470730231707661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2.018479719151951</c:v>
              </c:pt>
              <c:pt idx="1">
                <c:v>2.5772972784924</c:v>
              </c:pt>
              <c:pt idx="2">
                <c:v>3.2957769976443112</c:v>
              </c:pt>
              <c:pt idx="3">
                <c:v>4.1739188766077309</c:v>
              </c:pt>
              <c:pt idx="4">
                <c:v>5.2117229153829019</c:v>
              </c:pt>
              <c:pt idx="5">
                <c:v>6.4091891139694424</c:v>
              </c:pt>
              <c:pt idx="6">
                <c:v>7.7663174723675654</c:v>
              </c:pt>
              <c:pt idx="7">
                <c:v>9.2831079905772427</c:v>
              </c:pt>
              <c:pt idx="8">
                <c:v>10.959560668598471</c:v>
              </c:pt>
              <c:pt idx="9">
                <c:v>12.79567550643123</c:v>
              </c:pt>
              <c:pt idx="10">
                <c:v>14.791452504075529</c:v>
              </c:pt>
              <c:pt idx="11">
                <c:v>16.946891661531389</c:v>
              </c:pt>
              <c:pt idx="12">
                <c:v>19.261992978798791</c:v>
              </c:pt>
              <c:pt idx="13">
                <c:v>21.736756455877732</c:v>
              </c:pt>
              <c:pt idx="14">
                <c:v>24.37118209276823</c:v>
              </c:pt>
            </c:numLit>
          </c:yVal>
          <c:smooth val="1"/>
        </c:ser>
        <c:ser>
          <c:idx val="3"/>
          <c:order val="3"/>
          <c:tx>
            <c:v>50000cP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3.2711505299909032</c:v>
              </c:pt>
              <c:pt idx="1">
                <c:v>4.8042676088727161</c:v>
              </c:pt>
              <c:pt idx="2">
                <c:v>6.7754181388636203</c:v>
              </c:pt>
              <c:pt idx="3">
                <c:v>9.1846021199636247</c:v>
              </c:pt>
              <c:pt idx="4">
                <c:v>12.031819552172699</c:v>
              </c:pt>
              <c:pt idx="5">
                <c:v>15.31707043549085</c:v>
              </c:pt>
              <c:pt idx="6">
                <c:v>19.040354769918139</c:v>
              </c:pt>
              <c:pt idx="7">
                <c:v>23.20167255545449</c:v>
              </c:pt>
              <c:pt idx="8">
                <c:v>27.801023792099919</c:v>
              </c:pt>
              <c:pt idx="9">
                <c:v>32.838408479854436</c:v>
              </c:pt>
              <c:pt idx="10">
                <c:v>38.313826618717663</c:v>
              </c:pt>
              <c:pt idx="11">
                <c:v>44.227278208690763</c:v>
              </c:pt>
              <c:pt idx="12">
                <c:v>50.578763249772557</c:v>
              </c:pt>
              <c:pt idx="13">
                <c:v>57.368281741963337</c:v>
              </c:pt>
              <c:pt idx="14">
                <c:v>64.595833685263713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1.815270487597324</c:v>
              </c:pt>
              <c:pt idx="1">
                <c:v>2.2160364223952431</c:v>
              </c:pt>
              <c:pt idx="2">
                <c:v>2.7313069099925702</c:v>
              </c:pt>
              <c:pt idx="3">
                <c:v>3.361081950389301</c:v>
              </c:pt>
              <c:pt idx="4">
                <c:v>4.1053615435854356</c:v>
              </c:pt>
              <c:pt idx="5">
                <c:v>4.9641456895809766</c:v>
              </c:pt>
              <c:pt idx="6">
                <c:v>5.9374343883759266</c:v>
              </c:pt>
              <c:pt idx="7">
                <c:v>7.0252276399702804</c:v>
              </c:pt>
              <c:pt idx="8">
                <c:v>8.2275254443640371</c:v>
              </c:pt>
              <c:pt idx="9">
                <c:v>9.5443278015570971</c:v>
              </c:pt>
              <c:pt idx="10">
                <c:v>10.975634711549921</c:v>
              </c:pt>
              <c:pt idx="11">
                <c:v>12.521446174341749</c:v>
              </c:pt>
              <c:pt idx="12">
                <c:v>14.181762189933099</c:v>
              </c:pt>
              <c:pt idx="13">
                <c:v>15.95658275832408</c:v>
              </c:pt>
              <c:pt idx="14">
                <c:v>17.845907879514112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1.553063382645411</c:v>
              </c:pt>
              <c:pt idx="1">
                <c:v>1.7498904580362979</c:v>
              </c:pt>
              <c:pt idx="2">
                <c:v>2.0029538406817289</c:v>
              </c:pt>
              <c:pt idx="3">
                <c:v>2.3122535305816632</c:v>
              </c:pt>
              <c:pt idx="4">
                <c:v>2.6777895277361901</c:v>
              </c:pt>
              <c:pt idx="5">
                <c:v>3.099561832145227</c:v>
              </c:pt>
              <c:pt idx="6">
                <c:v>3.5775704438088032</c:v>
              </c:pt>
              <c:pt idx="7">
                <c:v>4.1118153627268663</c:v>
              </c:pt>
              <c:pt idx="8">
                <c:v>4.7022965888995714</c:v>
              </c:pt>
              <c:pt idx="9">
                <c:v>5.3490141223267607</c:v>
              </c:pt>
              <c:pt idx="10">
                <c:v>6.0519679630084866</c:v>
              </c:pt>
              <c:pt idx="11">
                <c:v>6.8111581109447572</c:v>
              </c:pt>
              <c:pt idx="12">
                <c:v>7.6265845661354383</c:v>
              </c:pt>
              <c:pt idx="13">
                <c:v>8.4982473285809093</c:v>
              </c:pt>
              <c:pt idx="14">
                <c:v>9.4261463982808067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1.6728103043997271</c:v>
              </c:pt>
              <c:pt idx="1">
                <c:v>1.962773874488396</c:v>
              </c:pt>
              <c:pt idx="2">
                <c:v>2.335584178888102</c:v>
              </c:pt>
              <c:pt idx="3">
                <c:v>2.7912412175988681</c:v>
              </c:pt>
              <c:pt idx="4">
                <c:v>3.3297449906206782</c:v>
              </c:pt>
              <c:pt idx="5">
                <c:v>3.9510954979535371</c:v>
              </c:pt>
              <c:pt idx="6">
                <c:v>4.6552927395974466</c:v>
              </c:pt>
              <c:pt idx="7">
                <c:v>5.4423367155524103</c:v>
              </c:pt>
              <c:pt idx="8">
                <c:v>6.3122274258184161</c:v>
              </c:pt>
              <c:pt idx="9">
                <c:v>7.264964870395378</c:v>
              </c:pt>
              <c:pt idx="10">
                <c:v>8.3005490492835747</c:v>
              </c:pt>
              <c:pt idx="11">
                <c:v>9.4189799624827071</c:v>
              </c:pt>
              <c:pt idx="12">
                <c:v>10.620257609992921</c:v>
              </c:pt>
              <c:pt idx="13">
                <c:v>11.904381991814169</c:v>
              </c:pt>
              <c:pt idx="14">
                <c:v>13.27135310794645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1.541372652838678</c:v>
              </c:pt>
              <c:pt idx="1">
                <c:v>1.729106938379886</c:v>
              </c:pt>
              <c:pt idx="2">
                <c:v>1.9704795912185811</c:v>
              </c:pt>
              <c:pt idx="3">
                <c:v>2.2654906113547439</c:v>
              </c:pt>
              <c:pt idx="4">
                <c:v>2.6141399987884042</c:v>
              </c:pt>
              <c:pt idx="5">
                <c:v>3.0164277535195452</c:v>
              </c:pt>
              <c:pt idx="6">
                <c:v>3.4723538755481731</c:v>
              </c:pt>
              <c:pt idx="7">
                <c:v>3.9819183648742782</c:v>
              </c:pt>
              <c:pt idx="8">
                <c:v>4.5451212214978884</c:v>
              </c:pt>
              <c:pt idx="9">
                <c:v>5.1619624454189781</c:v>
              </c:pt>
              <c:pt idx="10">
                <c:v>5.8324420366375476</c:v>
              </c:pt>
              <c:pt idx="11">
                <c:v>6.5565599951536582</c:v>
              </c:pt>
              <c:pt idx="12">
                <c:v>7.3343163209671456</c:v>
              </c:pt>
              <c:pt idx="13">
                <c:v>8.1657110140781857</c:v>
              </c:pt>
              <c:pt idx="14">
                <c:v>9.0507440744868095</c:v>
              </c:pt>
            </c:numLit>
          </c:yVal>
          <c:smooth val="1"/>
        </c:ser>
        <c:ser>
          <c:idx val="1"/>
          <c:order val="9"/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'500525G3'!$O$41</c:f>
              <c:numCache>
                <c:formatCode>0</c:formatCode>
                <c:ptCount val="1"/>
                <c:pt idx="0">
                  <c:v>20</c:v>
                </c:pt>
              </c:numCache>
            </c:numRef>
          </c:xVal>
          <c:yVal>
            <c:numRef>
              <c:f>'500525G3'!$P$42</c:f>
              <c:numCache>
                <c:formatCode>0.00</c:formatCode>
                <c:ptCount val="1"/>
                <c:pt idx="0">
                  <c:v>1.6064841467167641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64992"/>
        <c:axId val="109766912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95360"/>
        <c:axId val="117293440"/>
      </c:scatterChart>
      <c:valAx>
        <c:axId val="109764992"/>
        <c:scaling>
          <c:orientation val="minMax"/>
          <c:max val="65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766912"/>
        <c:crosses val="autoZero"/>
        <c:crossBetween val="midCat"/>
        <c:majorUnit val="100"/>
      </c:valAx>
      <c:valAx>
        <c:axId val="109766912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5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764992"/>
        <c:crosses val="autoZero"/>
        <c:crossBetween val="midCat"/>
        <c:majorUnit val="1"/>
      </c:valAx>
      <c:valAx>
        <c:axId val="11729344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7295360"/>
        <c:crosses val="max"/>
        <c:crossBetween val="midCat"/>
      </c:valAx>
      <c:valAx>
        <c:axId val="11729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2934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'500525G4'!$N$28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3412.5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'500525G4'!$N$30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'500525G4'!$Q$29:$Q$30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'500525G4'!$N$32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'500525G4'!$Q$31:$Q$32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'500525G4'!$N$34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'500525G4'!$Q$33:$Q$34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'500525G4'!$N$36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'500525G4'!$Q$35:$Q$36</c:f>
              <c:strCache>
                <c:ptCount val="2"/>
                <c:pt idx="0">
                  <c:v>N/A</c:v>
                </c:pt>
                <c:pt idx="1">
                  <c:v>604</c:v>
                </c:pt>
              </c:strCache>
            </c:strRef>
          </c:xVal>
          <c:yVal>
            <c:numRef>
              <c:f>'500525G4'!$R$35:$R$36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'500525G4'!$N$38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'500525G4'!$Q$37:$Q$38</c:f>
              <c:numCache>
                <c:formatCode>0</c:formatCode>
                <c:ptCount val="2"/>
                <c:pt idx="0">
                  <c:v>43.001823763524115</c:v>
                </c:pt>
                <c:pt idx="1">
                  <c:v>420</c:v>
                </c:pt>
              </c:numCache>
            </c:numRef>
          </c:xVal>
          <c:yVal>
            <c:numRef>
              <c:f>'500525G4'!$R$37:$R$38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1979.2404252414983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15808"/>
        <c:axId val="11821772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'500525G4'!$P$36</c:f>
              <c:numCache>
                <c:formatCode>0.0</c:formatCode>
                <c:ptCount val="1"/>
                <c:pt idx="0">
                  <c:v>47.584010101317368</c:v>
                </c:pt>
              </c:numCache>
            </c:numRef>
          </c:xVal>
          <c:yVal>
            <c:numRef>
              <c:f>'500525G4'!$P$22</c:f>
              <c:numCache>
                <c:formatCode>0.00</c:formatCode>
                <c:ptCount val="1"/>
                <c:pt idx="0">
                  <c:v>237.7548335557662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25920"/>
        <c:axId val="118224000"/>
      </c:scatterChart>
      <c:valAx>
        <c:axId val="118215808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217728"/>
        <c:crossesAt val="0"/>
        <c:crossBetween val="midCat"/>
        <c:majorUnit val="100"/>
        <c:minorUnit val="100"/>
      </c:valAx>
      <c:valAx>
        <c:axId val="118217728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215808"/>
        <c:crosses val="autoZero"/>
        <c:crossBetween val="midCat"/>
        <c:majorUnit val="500"/>
        <c:minorUnit val="1"/>
      </c:valAx>
      <c:valAx>
        <c:axId val="118224000"/>
        <c:scaling>
          <c:orientation val="minMax"/>
          <c:max val="924.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8225920"/>
        <c:crosses val="max"/>
        <c:crossBetween val="midCat"/>
        <c:majorUnit val="100"/>
      </c:valAx>
      <c:valAx>
        <c:axId val="1182259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82240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'500525G4'!$N$37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'500525G4'!$O$37:$O$38</c:f>
              <c:numCache>
                <c:formatCode>0</c:formatCode>
                <c:ptCount val="2"/>
                <c:pt idx="0">
                  <c:v>0</c:v>
                </c:pt>
                <c:pt idx="1">
                  <c:v>420</c:v>
                </c:pt>
              </c:numCache>
            </c:numRef>
          </c:xVal>
          <c:yVal>
            <c:numRef>
              <c:f>'500525G4'!$P$37:$P$38</c:f>
              <c:numCache>
                <c:formatCode>0.0</c:formatCode>
                <c:ptCount val="2"/>
                <c:pt idx="0">
                  <c:v>0</c:v>
                </c:pt>
                <c:pt idx="1">
                  <c:v>41.467218944624676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'500525G4'!$N$35</c:f>
              <c:strCache>
                <c:ptCount val="1"/>
                <c:pt idx="0">
                  <c:v>6 / 90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'500525G4'!$O$35:$O$36</c:f>
              <c:numCache>
                <c:formatCode>0</c:formatCode>
                <c:ptCount val="2"/>
                <c:pt idx="0">
                  <c:v>0</c:v>
                </c:pt>
                <c:pt idx="1">
                  <c:v>604</c:v>
                </c:pt>
              </c:numCache>
            </c:numRef>
          </c:xVal>
          <c:yVal>
            <c:numRef>
              <c:f>'500525G4'!$P$35:$P$36</c:f>
              <c:numCache>
                <c:formatCode>0.0</c:formatCode>
                <c:ptCount val="2"/>
                <c:pt idx="0">
                  <c:v>0</c:v>
                </c:pt>
                <c:pt idx="1">
                  <c:v>47.584010101317368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'500525G4'!$N$33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'500525G4'!$O$33:$O$34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'500525G4'!$P$33:$P$34</c:f>
              <c:numCache>
                <c:formatCode>0.0</c:formatCode>
                <c:ptCount val="2"/>
                <c:pt idx="0">
                  <c:v>0</c:v>
                </c:pt>
                <c:pt idx="1">
                  <c:v>38.240457890490553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'500525G4'!$N$31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'500525G4'!$O$31:$O$32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'500525G4'!$P$31:$P$32</c:f>
              <c:numCache>
                <c:formatCode>0.0</c:formatCode>
                <c:ptCount val="2"/>
                <c:pt idx="0">
                  <c:v>0</c:v>
                </c:pt>
                <c:pt idx="1">
                  <c:v>25.272957890490549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'500525G4'!$N$29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'500525G4'!$O$29:$O$30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'500525G4'!$P$29:$P$30</c:f>
              <c:numCache>
                <c:formatCode>0.0</c:formatCode>
                <c:ptCount val="2"/>
                <c:pt idx="0">
                  <c:v>0</c:v>
                </c:pt>
                <c:pt idx="1">
                  <c:v>18.789207890490555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'500525G4'!$N$27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'500525G4'!$P$27:$P$28</c:f>
              <c:numCache>
                <c:formatCode>0.0</c:formatCode>
                <c:ptCount val="2"/>
                <c:pt idx="0">
                  <c:v>0</c:v>
                </c:pt>
                <c:pt idx="1">
                  <c:v>12.305457890490555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80960"/>
        <c:axId val="11828288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'500525G4'!$P$23</c:f>
              <c:numCache>
                <c:formatCode>0.00</c:formatCode>
                <c:ptCount val="1"/>
                <c:pt idx="0">
                  <c:v>80.461320000000001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30336"/>
        <c:axId val="118428416"/>
      </c:scatterChart>
      <c:valAx>
        <c:axId val="118280960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282880"/>
        <c:crossesAt val="0"/>
        <c:crossBetween val="midCat"/>
        <c:majorUnit val="100"/>
        <c:minorUnit val="100"/>
      </c:valAx>
      <c:valAx>
        <c:axId val="118282880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280960"/>
        <c:crosses val="autoZero"/>
        <c:crossBetween val="midCat"/>
        <c:majorUnit val="10"/>
        <c:minorUnit val="1"/>
      </c:valAx>
      <c:valAx>
        <c:axId val="118428416"/>
        <c:scaling>
          <c:orientation val="minMax"/>
          <c:max val="80.40000000000000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8430336"/>
        <c:crosses val="max"/>
        <c:crossBetween val="midCat"/>
        <c:majorUnit val="10"/>
      </c:valAx>
      <c:valAx>
        <c:axId val="1184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84284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'500525G5'!$O$1:$O$2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'500525G5'!$P$1:$P$2</c:f>
              <c:numCache>
                <c:formatCode>General</c:formatCode>
                <c:ptCount val="2"/>
                <c:pt idx="0">
                  <c:v>0</c:v>
                </c:pt>
                <c:pt idx="1">
                  <c:v>3412.5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'500525G5'!$O$3:$O$5</c:f>
              <c:numCache>
                <c:formatCode>General</c:formatCode>
                <c:ptCount val="3"/>
                <c:pt idx="0">
                  <c:v>17.246425324301441</c:v>
                </c:pt>
                <c:pt idx="1">
                  <c:v>150</c:v>
                </c:pt>
                <c:pt idx="2">
                  <c:v>650</c:v>
                </c:pt>
              </c:numCache>
            </c:numRef>
          </c:xVal>
          <c:yVal>
            <c:numRef>
              <c:f>'500525G5'!$P$3:$P$5</c:f>
              <c:numCache>
                <c:formatCode>General</c:formatCode>
                <c:ptCount val="3"/>
                <c:pt idx="0">
                  <c:v>0</c:v>
                </c:pt>
                <c:pt idx="1">
                  <c:v>696.95626704741744</c:v>
                </c:pt>
                <c:pt idx="2">
                  <c:v>3355.4741850026717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'500525G5'!$O$7:$O$8</c:f>
              <c:numCache>
                <c:formatCode>General</c:formatCode>
                <c:ptCount val="2"/>
                <c:pt idx="0">
                  <c:v>9.006952965667324</c:v>
                </c:pt>
                <c:pt idx="1">
                  <c:v>650</c:v>
                </c:pt>
              </c:numCache>
            </c:numRef>
          </c:xVal>
          <c:yVal>
            <c:numRef>
              <c:f>'500525G5'!$P$7:$P$8</c:f>
              <c:numCache>
                <c:formatCode>General</c:formatCode>
                <c:ptCount val="2"/>
                <c:pt idx="0">
                  <c:v>0</c:v>
                </c:pt>
                <c:pt idx="1">
                  <c:v>3365.2134969302465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'500525G5'!$O$6</c:f>
              <c:numCache>
                <c:formatCode>0</c:formatCode>
                <c:ptCount val="1"/>
                <c:pt idx="0">
                  <c:v>22</c:v>
                </c:pt>
              </c:numCache>
            </c:numRef>
          </c:xVal>
          <c:yVal>
            <c:numRef>
              <c:f>'500525G5'!$P$6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6192"/>
        <c:axId val="11877811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'500525G5'!$O$9:$O$10</c:f>
              <c:numCache>
                <c:formatCode>General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'500525G5'!$P$9:$P$10</c:f>
              <c:numCache>
                <c:formatCode>General</c:formatCode>
                <c:ptCount val="2"/>
                <c:pt idx="0">
                  <c:v>0</c:v>
                </c:pt>
                <c:pt idx="1">
                  <c:v>750.64472958312331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04864"/>
        <c:axId val="118806400"/>
      </c:scatterChart>
      <c:valAx>
        <c:axId val="118776192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778112"/>
        <c:crossesAt val="0"/>
        <c:crossBetween val="midCat"/>
        <c:majorUnit val="100"/>
      </c:valAx>
      <c:valAx>
        <c:axId val="118778112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69179894179899E-4"/>
              <c:y val="0.42659542181069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776192"/>
        <c:crosses val="autoZero"/>
        <c:crossBetween val="midCat"/>
        <c:majorUnit val="500"/>
        <c:minorUnit val="10"/>
      </c:valAx>
      <c:valAx>
        <c:axId val="11880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8806400"/>
        <c:crosses val="autoZero"/>
        <c:crossBetween val="midCat"/>
      </c:valAx>
      <c:valAx>
        <c:axId val="118806400"/>
        <c:scaling>
          <c:orientation val="minMax"/>
          <c:max val="924.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804864"/>
        <c:crosses val="max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2.372287541145655</c:v>
              </c:pt>
              <c:pt idx="1">
                <c:v>3.2062889620367212</c:v>
              </c:pt>
              <c:pt idx="2">
                <c:v>4.2785765031823804</c:v>
              </c:pt>
              <c:pt idx="3">
                <c:v>5.5891501645826533</c:v>
              </c:pt>
              <c:pt idx="4">
                <c:v>7.1380099462374336</c:v>
              </c:pt>
              <c:pt idx="5">
                <c:v>8.9251558481468827</c:v>
              </c:pt>
              <c:pt idx="6">
                <c:v>10.95058787031102</c:v>
              </c:pt>
              <c:pt idx="7">
                <c:v>13.21430601272951</c:v>
              </c:pt>
              <c:pt idx="8">
                <c:v>15.7163102754027</c:v>
              </c:pt>
              <c:pt idx="9">
                <c:v>18.45660065833049</c:v>
              </c:pt>
              <c:pt idx="10">
                <c:v>21.435177161512861</c:v>
              </c:pt>
              <c:pt idx="11">
                <c:v>24.652039784949789</c:v>
              </c:pt>
              <c:pt idx="12">
                <c:v>28.107188528641402</c:v>
              </c:pt>
              <c:pt idx="13">
                <c:v>31.800623392587521</c:v>
              </c:pt>
              <c:pt idx="14">
                <c:v>35.732344376788262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1.6167355435479851</c:v>
              </c:pt>
              <c:pt idx="1">
                <c:v>1.8630854107519741</c:v>
              </c:pt>
              <c:pt idx="2">
                <c:v>2.1798209542999589</c:v>
              </c:pt>
              <c:pt idx="3">
                <c:v>2.5669421741919392</c:v>
              </c:pt>
              <c:pt idx="4">
                <c:v>3.0244490704279201</c:v>
              </c:pt>
              <c:pt idx="5">
                <c:v>3.552341643007896</c:v>
              </c:pt>
              <c:pt idx="6">
                <c:v>4.1506198919318704</c:v>
              </c:pt>
              <c:pt idx="7">
                <c:v>4.8192838171998371</c:v>
              </c:pt>
              <c:pt idx="8">
                <c:v>5.5583334188118023</c:v>
              </c:pt>
              <c:pt idx="9">
                <c:v>6.3677686967677651</c:v>
              </c:pt>
              <c:pt idx="10">
                <c:v>7.2475896510676936</c:v>
              </c:pt>
              <c:pt idx="11">
                <c:v>8.1977962817116801</c:v>
              </c:pt>
              <c:pt idx="12">
                <c:v>9.218388588699618</c:v>
              </c:pt>
              <c:pt idx="13">
                <c:v>10.30936657203158</c:v>
              </c:pt>
              <c:pt idx="14">
                <c:v>11.470730231707661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2.018479719151951</c:v>
              </c:pt>
              <c:pt idx="1">
                <c:v>2.5772972784924</c:v>
              </c:pt>
              <c:pt idx="2">
                <c:v>3.2957769976443112</c:v>
              </c:pt>
              <c:pt idx="3">
                <c:v>4.1739188766077309</c:v>
              </c:pt>
              <c:pt idx="4">
                <c:v>5.2117229153829019</c:v>
              </c:pt>
              <c:pt idx="5">
                <c:v>6.4091891139694424</c:v>
              </c:pt>
              <c:pt idx="6">
                <c:v>7.7663174723675654</c:v>
              </c:pt>
              <c:pt idx="7">
                <c:v>9.2831079905772427</c:v>
              </c:pt>
              <c:pt idx="8">
                <c:v>10.959560668598471</c:v>
              </c:pt>
              <c:pt idx="9">
                <c:v>12.79567550643123</c:v>
              </c:pt>
              <c:pt idx="10">
                <c:v>14.791452504075529</c:v>
              </c:pt>
              <c:pt idx="11">
                <c:v>16.946891661531389</c:v>
              </c:pt>
              <c:pt idx="12">
                <c:v>19.261992978798791</c:v>
              </c:pt>
              <c:pt idx="13">
                <c:v>21.736756455877732</c:v>
              </c:pt>
              <c:pt idx="14">
                <c:v>24.37118209276823</c:v>
              </c:pt>
            </c:numLit>
          </c:yVal>
          <c:smooth val="1"/>
        </c:ser>
        <c:ser>
          <c:idx val="3"/>
          <c:order val="3"/>
          <c:tx>
            <c:v>50000cP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3.2711505299909032</c:v>
              </c:pt>
              <c:pt idx="1">
                <c:v>4.8042676088727161</c:v>
              </c:pt>
              <c:pt idx="2">
                <c:v>6.7754181388636203</c:v>
              </c:pt>
              <c:pt idx="3">
                <c:v>9.1846021199636247</c:v>
              </c:pt>
              <c:pt idx="4">
                <c:v>12.031819552172699</c:v>
              </c:pt>
              <c:pt idx="5">
                <c:v>15.31707043549085</c:v>
              </c:pt>
              <c:pt idx="6">
                <c:v>19.040354769918139</c:v>
              </c:pt>
              <c:pt idx="7">
                <c:v>23.20167255545449</c:v>
              </c:pt>
              <c:pt idx="8">
                <c:v>27.801023792099919</c:v>
              </c:pt>
              <c:pt idx="9">
                <c:v>32.838408479854436</c:v>
              </c:pt>
              <c:pt idx="10">
                <c:v>38.313826618717663</c:v>
              </c:pt>
              <c:pt idx="11">
                <c:v>44.227278208690763</c:v>
              </c:pt>
              <c:pt idx="12">
                <c:v>50.578763249772557</c:v>
              </c:pt>
              <c:pt idx="13">
                <c:v>57.368281741963337</c:v>
              </c:pt>
              <c:pt idx="14">
                <c:v>64.595833685263713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1.815270487597324</c:v>
              </c:pt>
              <c:pt idx="1">
                <c:v>2.2160364223952431</c:v>
              </c:pt>
              <c:pt idx="2">
                <c:v>2.7313069099925702</c:v>
              </c:pt>
              <c:pt idx="3">
                <c:v>3.361081950389301</c:v>
              </c:pt>
              <c:pt idx="4">
                <c:v>4.1053615435854356</c:v>
              </c:pt>
              <c:pt idx="5">
                <c:v>4.9641456895809766</c:v>
              </c:pt>
              <c:pt idx="6">
                <c:v>5.9374343883759266</c:v>
              </c:pt>
              <c:pt idx="7">
                <c:v>7.0252276399702804</c:v>
              </c:pt>
              <c:pt idx="8">
                <c:v>8.2275254443640371</c:v>
              </c:pt>
              <c:pt idx="9">
                <c:v>9.5443278015570971</c:v>
              </c:pt>
              <c:pt idx="10">
                <c:v>10.975634711549921</c:v>
              </c:pt>
              <c:pt idx="11">
                <c:v>12.521446174341749</c:v>
              </c:pt>
              <c:pt idx="12">
                <c:v>14.181762189933099</c:v>
              </c:pt>
              <c:pt idx="13">
                <c:v>15.95658275832408</c:v>
              </c:pt>
              <c:pt idx="14">
                <c:v>17.845907879514112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1.553063382645411</c:v>
              </c:pt>
              <c:pt idx="1">
                <c:v>1.7498904580362979</c:v>
              </c:pt>
              <c:pt idx="2">
                <c:v>2.0029538406817289</c:v>
              </c:pt>
              <c:pt idx="3">
                <c:v>2.3122535305816632</c:v>
              </c:pt>
              <c:pt idx="4">
                <c:v>2.6777895277361901</c:v>
              </c:pt>
              <c:pt idx="5">
                <c:v>3.099561832145227</c:v>
              </c:pt>
              <c:pt idx="6">
                <c:v>3.5775704438088032</c:v>
              </c:pt>
              <c:pt idx="7">
                <c:v>4.1118153627268663</c:v>
              </c:pt>
              <c:pt idx="8">
                <c:v>4.7022965888995714</c:v>
              </c:pt>
              <c:pt idx="9">
                <c:v>5.3490141223267607</c:v>
              </c:pt>
              <c:pt idx="10">
                <c:v>6.0519679630084866</c:v>
              </c:pt>
              <c:pt idx="11">
                <c:v>6.8111581109447572</c:v>
              </c:pt>
              <c:pt idx="12">
                <c:v>7.6265845661354383</c:v>
              </c:pt>
              <c:pt idx="13">
                <c:v>8.4982473285809093</c:v>
              </c:pt>
              <c:pt idx="14">
                <c:v>9.4261463982808067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1.6728103043997271</c:v>
              </c:pt>
              <c:pt idx="1">
                <c:v>1.962773874488396</c:v>
              </c:pt>
              <c:pt idx="2">
                <c:v>2.335584178888102</c:v>
              </c:pt>
              <c:pt idx="3">
                <c:v>2.7912412175988681</c:v>
              </c:pt>
              <c:pt idx="4">
                <c:v>3.3297449906206782</c:v>
              </c:pt>
              <c:pt idx="5">
                <c:v>3.9510954979535371</c:v>
              </c:pt>
              <c:pt idx="6">
                <c:v>4.6552927395974466</c:v>
              </c:pt>
              <c:pt idx="7">
                <c:v>5.4423367155524103</c:v>
              </c:pt>
              <c:pt idx="8">
                <c:v>6.3122274258184161</c:v>
              </c:pt>
              <c:pt idx="9">
                <c:v>7.264964870395378</c:v>
              </c:pt>
              <c:pt idx="10">
                <c:v>8.3005490492835747</c:v>
              </c:pt>
              <c:pt idx="11">
                <c:v>9.4189799624827071</c:v>
              </c:pt>
              <c:pt idx="12">
                <c:v>10.620257609992921</c:v>
              </c:pt>
              <c:pt idx="13">
                <c:v>11.904381991814169</c:v>
              </c:pt>
              <c:pt idx="14">
                <c:v>13.27135310794645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1.541372652838678</c:v>
              </c:pt>
              <c:pt idx="1">
                <c:v>1.729106938379886</c:v>
              </c:pt>
              <c:pt idx="2">
                <c:v>1.9704795912185811</c:v>
              </c:pt>
              <c:pt idx="3">
                <c:v>2.2654906113547439</c:v>
              </c:pt>
              <c:pt idx="4">
                <c:v>2.6141399987884042</c:v>
              </c:pt>
              <c:pt idx="5">
                <c:v>3.0164277535195452</c:v>
              </c:pt>
              <c:pt idx="6">
                <c:v>3.4723538755481731</c:v>
              </c:pt>
              <c:pt idx="7">
                <c:v>3.9819183648742782</c:v>
              </c:pt>
              <c:pt idx="8">
                <c:v>4.5451212214978884</c:v>
              </c:pt>
              <c:pt idx="9">
                <c:v>5.1619624454189781</c:v>
              </c:pt>
              <c:pt idx="10">
                <c:v>5.8324420366375476</c:v>
              </c:pt>
              <c:pt idx="11">
                <c:v>6.5565599951536582</c:v>
              </c:pt>
              <c:pt idx="12">
                <c:v>7.3343163209671456</c:v>
              </c:pt>
              <c:pt idx="13">
                <c:v>8.1657110140781857</c:v>
              </c:pt>
              <c:pt idx="14">
                <c:v>9.0507440744868095</c:v>
              </c:pt>
            </c:numLit>
          </c:yVal>
          <c:smooth val="1"/>
        </c:ser>
        <c:ser>
          <c:idx val="1"/>
          <c:order val="9"/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'500525G5'!$O$41</c:f>
              <c:numCache>
                <c:formatCode>0</c:formatCode>
                <c:ptCount val="1"/>
                <c:pt idx="0">
                  <c:v>22</c:v>
                </c:pt>
              </c:numCache>
            </c:numRef>
          </c:xVal>
          <c:yVal>
            <c:numRef>
              <c:f>'500525G5'!$P$42</c:f>
              <c:numCache>
                <c:formatCode>0.00</c:formatCode>
                <c:ptCount val="1"/>
                <c:pt idx="0">
                  <c:v>1.6101513673346486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52448"/>
        <c:axId val="118558720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66912"/>
        <c:axId val="118560640"/>
      </c:scatterChart>
      <c:valAx>
        <c:axId val="118552448"/>
        <c:scaling>
          <c:orientation val="minMax"/>
          <c:max val="65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8558720"/>
        <c:crosses val="autoZero"/>
        <c:crossBetween val="midCat"/>
        <c:majorUnit val="100"/>
      </c:valAx>
      <c:valAx>
        <c:axId val="118558720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5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8552448"/>
        <c:crosses val="autoZero"/>
        <c:crossBetween val="midCat"/>
        <c:majorUnit val="1"/>
      </c:valAx>
      <c:valAx>
        <c:axId val="11856064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8566912"/>
        <c:crosses val="max"/>
        <c:crossBetween val="midCat"/>
      </c:valAx>
      <c:valAx>
        <c:axId val="11856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85606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'500525G6'!$N$28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3412.5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'500525G6'!$N$30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'500525G6'!$Q$29:$Q$30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'500525G6'!$N$32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'500525G6'!$Q$31:$Q$32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'500525G6'!$N$34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'500525G6'!$Q$33:$Q$34</c:f>
              <c:strCache>
                <c:ptCount val="2"/>
                <c:pt idx="0">
                  <c:v>N/A</c:v>
                </c:pt>
                <c:pt idx="1">
                  <c:v>650</c:v>
                </c:pt>
              </c:strCache>
            </c:strRef>
          </c:xVal>
          <c:yVal>
            <c:numRef>
              <c:f>'500525G6'!$R$33:$R$34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'500525G6'!$N$36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'500525G6'!$Q$35:$Q$36</c:f>
              <c:strCache>
                <c:ptCount val="2"/>
                <c:pt idx="0">
                  <c:v>N/A</c:v>
                </c:pt>
                <c:pt idx="1">
                  <c:v>535</c:v>
                </c:pt>
              </c:strCache>
            </c:strRef>
          </c:xVal>
          <c:yVal>
            <c:numRef>
              <c:f>'500525G6'!$R$35:$R$36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'500525G6'!$N$38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'500525G6'!$Q$37:$Q$38</c:f>
              <c:strCache>
                <c:ptCount val="2"/>
                <c:pt idx="0">
                  <c:v>N/A</c:v>
                </c:pt>
                <c:pt idx="1">
                  <c:v>304</c:v>
                </c:pt>
              </c:strCache>
            </c:strRef>
          </c:xVal>
          <c:yVal>
            <c:numRef>
              <c:f>'500525G6'!$R$37:$R$38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3"/>
          <c:order val="6"/>
          <c:tx>
            <c:strRef>
              <c:f>'500525G6'!$N$40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'500525G6'!$Q$39:$Q$40</c:f>
              <c:numCache>
                <c:formatCode>0</c:formatCode>
                <c:ptCount val="2"/>
                <c:pt idx="0">
                  <c:v>17.246425324301445</c:v>
                </c:pt>
                <c:pt idx="1">
                  <c:v>150</c:v>
                </c:pt>
              </c:numCache>
            </c:numRef>
          </c:xVal>
          <c:yVal>
            <c:numRef>
              <c:f>'500525G6'!$R$39:$R$40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696.95626704741744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13728"/>
        <c:axId val="11872819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'500525G6'!$P$36</c:f>
              <c:numCache>
                <c:formatCode>0.0</c:formatCode>
                <c:ptCount val="1"/>
                <c:pt idx="0">
                  <c:v>47.450576312296967</c:v>
                </c:pt>
              </c:numCache>
            </c:numRef>
          </c:xVal>
          <c:yVal>
            <c:numRef>
              <c:f>'500525G6'!$P$22</c:f>
              <c:numCache>
                <c:formatCode>0.00</c:formatCode>
                <c:ptCount val="1"/>
                <c:pt idx="0">
                  <c:v>634.01288948204319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8672"/>
        <c:axId val="118730112"/>
      </c:scatterChart>
      <c:valAx>
        <c:axId val="118713728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728192"/>
        <c:crossesAt val="0"/>
        <c:crossBetween val="midCat"/>
        <c:majorUnit val="100"/>
        <c:minorUnit val="100"/>
      </c:valAx>
      <c:valAx>
        <c:axId val="118728192"/>
        <c:scaling>
          <c:orientation val="minMax"/>
          <c:max val="3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713728"/>
        <c:crosses val="autoZero"/>
        <c:crossBetween val="midCat"/>
        <c:majorUnit val="500"/>
        <c:minorUnit val="1"/>
      </c:valAx>
      <c:valAx>
        <c:axId val="118730112"/>
        <c:scaling>
          <c:orientation val="minMax"/>
          <c:max val="924.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5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8748672"/>
        <c:crosses val="max"/>
        <c:crossBetween val="midCat"/>
        <c:majorUnit val="100"/>
      </c:valAx>
      <c:valAx>
        <c:axId val="11874867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8730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2096"/>
          <c:y val="0.29489814814814802"/>
          <c:w val="0.134349537037039"/>
          <c:h val="0.425302209200652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299" r="0.75000000000001299" t="1" header="0.5" footer="0.5"/>
    <c:pageSetup paperSize="9" orientation="landscape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'500525G6'!$N$39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'500525G6'!$O$39:$O$40</c:f>
              <c:numCache>
                <c:formatCode>0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xVal>
          <c:yVal>
            <c:numRef>
              <c:f>'500525G6'!$P$39:$P$40</c:f>
              <c:numCache>
                <c:formatCode>0.0</c:formatCode>
                <c:ptCount val="2"/>
                <c:pt idx="0">
                  <c:v>0</c:v>
                </c:pt>
                <c:pt idx="1">
                  <c:v>20.794721051651663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'500525G6'!$N$37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'500525G6'!$O$37:$O$38</c:f>
              <c:numCache>
                <c:formatCode>0</c:formatCode>
                <c:ptCount val="2"/>
                <c:pt idx="0">
                  <c:v>0</c:v>
                </c:pt>
                <c:pt idx="1">
                  <c:v>303.84615384615387</c:v>
                </c:pt>
              </c:numCache>
            </c:numRef>
          </c:xVal>
          <c:yVal>
            <c:numRef>
              <c:f>'500525G6'!$P$37:$P$38</c:f>
              <c:numCache>
                <c:formatCode>0.0</c:formatCode>
                <c:ptCount val="2"/>
                <c:pt idx="0">
                  <c:v>0</c:v>
                </c:pt>
                <c:pt idx="1">
                  <c:v>36.060909309755942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'500525G6'!$N$35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'500525G6'!$O$35:$O$36</c:f>
              <c:numCache>
                <c:formatCode>0</c:formatCode>
                <c:ptCount val="2"/>
                <c:pt idx="0">
                  <c:v>0</c:v>
                </c:pt>
                <c:pt idx="1">
                  <c:v>534.61538461538464</c:v>
                </c:pt>
              </c:numCache>
            </c:numRef>
          </c:xVal>
          <c:yVal>
            <c:numRef>
              <c:f>'500525G6'!$P$35:$P$36</c:f>
              <c:numCache>
                <c:formatCode>0.0</c:formatCode>
                <c:ptCount val="2"/>
                <c:pt idx="0">
                  <c:v>0</c:v>
                </c:pt>
                <c:pt idx="1">
                  <c:v>47.450576312296967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'500525G6'!$N$33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'500525G6'!$O$33:$O$34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'500525G6'!$P$33:$P$34</c:f>
              <c:numCache>
                <c:formatCode>0.0</c:formatCode>
                <c:ptCount val="2"/>
                <c:pt idx="0">
                  <c:v>0</c:v>
                </c:pt>
                <c:pt idx="1">
                  <c:v>44.724207890490554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'500525G6'!$N$31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'500525G6'!$O$31:$O$32</c:f>
              <c:numCache>
                <c:formatCode>0</c:formatCode>
                <c:ptCount val="2"/>
                <c:pt idx="0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'500525G6'!$P$31:$P$32</c:f>
              <c:numCache>
                <c:formatCode>0.0</c:formatCode>
                <c:ptCount val="2"/>
                <c:pt idx="0">
                  <c:v>0</c:v>
                </c:pt>
                <c:pt idx="1">
                  <c:v>31.756707890490553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'500525G6'!$N$29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'500525G6'!$O$29:$O$30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'500525G6'!$P$29:$P$30</c:f>
              <c:numCache>
                <c:formatCode>0.0</c:formatCode>
                <c:ptCount val="2"/>
                <c:pt idx="0">
                  <c:v>0</c:v>
                </c:pt>
                <c:pt idx="1">
                  <c:v>18.789207890490555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'500525G6'!$N$27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'500525G6'!$O$27:$O$28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650</c:v>
                </c:pt>
              </c:numCache>
            </c:numRef>
          </c:xVal>
          <c:yVal>
            <c:numRef>
              <c:f>'500525G6'!$P$27:$P$28</c:f>
              <c:numCache>
                <c:formatCode>0.0</c:formatCode>
                <c:ptCount val="2"/>
                <c:pt idx="0">
                  <c:v>0</c:v>
                </c:pt>
                <c:pt idx="1">
                  <c:v>12.305457890490555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24256"/>
        <c:axId val="11862617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'500525G6'!$O$23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'500525G6'!$P$23</c:f>
              <c:numCache>
                <c:formatCode>0.00</c:formatCode>
                <c:ptCount val="1"/>
                <c:pt idx="0">
                  <c:v>80.461320000000001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30272"/>
        <c:axId val="118628352"/>
      </c:scatterChart>
      <c:valAx>
        <c:axId val="118624256"/>
        <c:scaling>
          <c:orientation val="minMax"/>
          <c:max val="6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626176"/>
        <c:crossesAt val="0"/>
        <c:crossBetween val="midCat"/>
        <c:majorUnit val="100"/>
        <c:minorUnit val="100"/>
      </c:valAx>
      <c:valAx>
        <c:axId val="118626176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8624256"/>
        <c:crosses val="autoZero"/>
        <c:crossBetween val="midCat"/>
        <c:majorUnit val="10"/>
        <c:minorUnit val="1"/>
      </c:valAx>
      <c:valAx>
        <c:axId val="118628352"/>
        <c:scaling>
          <c:orientation val="minMax"/>
          <c:max val="80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8630272"/>
        <c:crosses val="max"/>
        <c:crossBetween val="midCat"/>
        <c:majorUnit val="10"/>
      </c:valAx>
      <c:valAx>
        <c:axId val="11863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86283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'100008G1'!$O$1:$O$2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'100008G1'!$P$1:$P$2</c:f>
              <c:numCache>
                <c:formatCode>General</c:formatCode>
                <c:ptCount val="2"/>
                <c:pt idx="0">
                  <c:v>0</c:v>
                </c:pt>
                <c:pt idx="1">
                  <c:v>116.2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'100008G1'!$O$3:$O$5</c:f>
              <c:numCache>
                <c:formatCode>General</c:formatCode>
                <c:ptCount val="3"/>
                <c:pt idx="0">
                  <c:v>29.268166724782873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'100008G1'!$P$3:$P$5</c:f>
              <c:numCache>
                <c:formatCode>General</c:formatCode>
                <c:ptCount val="3"/>
                <c:pt idx="0">
                  <c:v>0</c:v>
                </c:pt>
                <c:pt idx="1">
                  <c:v>80.570742161843029</c:v>
                </c:pt>
                <c:pt idx="2">
                  <c:v>114.12446738815541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'100008G1'!$O$7:$O$8</c:f>
              <c:numCache>
                <c:formatCode>General</c:formatCode>
                <c:ptCount val="2"/>
                <c:pt idx="0">
                  <c:v>20.077887128469911</c:v>
                </c:pt>
                <c:pt idx="1">
                  <c:v>1400</c:v>
                </c:pt>
              </c:numCache>
            </c:numRef>
          </c:xVal>
          <c:yVal>
            <c:numRef>
              <c:f>'100008G1'!$P$7:$P$8</c:f>
              <c:numCache>
                <c:formatCode>General</c:formatCode>
                <c:ptCount val="2"/>
                <c:pt idx="0">
                  <c:v>0</c:v>
                </c:pt>
                <c:pt idx="1">
                  <c:v>114.533535368337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'100008G1'!$O$6</c:f>
              <c:numCache>
                <c:formatCode>0</c:formatCode>
                <c:ptCount val="1"/>
                <c:pt idx="0">
                  <c:v>814</c:v>
                </c:pt>
              </c:numCache>
            </c:numRef>
          </c:xVal>
          <c:yVal>
            <c:numRef>
              <c:f>'100008G1'!$P$6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83936"/>
        <c:axId val="8099430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'100008G1'!$O$9:$O$10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'100008G1'!$P$9:$P$10</c:f>
              <c:numCache>
                <c:formatCode>General</c:formatCode>
                <c:ptCount val="2"/>
                <c:pt idx="0">
                  <c:v>0</c:v>
                </c:pt>
                <c:pt idx="1">
                  <c:v>25.560415407343275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96224"/>
        <c:axId val="80997760"/>
      </c:scatterChart>
      <c:valAx>
        <c:axId val="80983936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994304"/>
        <c:crossesAt val="0"/>
        <c:crossBetween val="midCat"/>
        <c:majorUnit val="200"/>
      </c:valAx>
      <c:valAx>
        <c:axId val="8099430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983936"/>
        <c:crosses val="autoZero"/>
        <c:crossBetween val="midCat"/>
        <c:majorUnit val="20"/>
        <c:minorUnit val="10"/>
      </c:valAx>
      <c:valAx>
        <c:axId val="8099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997760"/>
        <c:crosses val="autoZero"/>
        <c:crossBetween val="midCat"/>
      </c:valAx>
      <c:valAx>
        <c:axId val="80997760"/>
        <c:scaling>
          <c:orientation val="minMax"/>
          <c:max val="3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996224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2.4183574015865852</c:v>
              </c:pt>
              <c:pt idx="1">
                <c:v>3.2881909361539301</c:v>
              </c:pt>
              <c:pt idx="2">
                <c:v>4.4065483377405128</c:v>
              </c:pt>
              <c:pt idx="3">
                <c:v>5.7734296063463404</c:v>
              </c:pt>
              <c:pt idx="4">
                <c:v>7.3888347419713947</c:v>
              </c:pt>
              <c:pt idx="5">
                <c:v>9.2527637446157112</c:v>
              </c:pt>
              <c:pt idx="6">
                <c:v>11.365216614279401</c:v>
              </c:pt>
              <c:pt idx="7">
                <c:v>13.726193350962051</c:v>
              </c:pt>
              <c:pt idx="8">
                <c:v>16.33569395466408</c:v>
              </c:pt>
              <c:pt idx="9">
                <c:v>19.193718425385349</c:v>
              </c:pt>
              <c:pt idx="10">
                <c:v>22.300266763125862</c:v>
              </c:pt>
              <c:pt idx="11">
                <c:v>25.65533896788563</c:v>
              </c:pt>
              <c:pt idx="12">
                <c:v>29.25893503966461</c:v>
              </c:pt>
              <c:pt idx="13">
                <c:v>33.111054978462853</c:v>
              </c:pt>
              <c:pt idx="14">
                <c:v>37.211698784280287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1.454923369374703</c:v>
              </c:pt>
              <c:pt idx="1">
                <c:v>1.575419323332806</c:v>
              </c:pt>
              <c:pt idx="2">
                <c:v>1.7303426927075101</c:v>
              </c:pt>
              <c:pt idx="3">
                <c:v>1.919693477498813</c:v>
              </c:pt>
              <c:pt idx="4">
                <c:v>2.1434716777067369</c:v>
              </c:pt>
              <c:pt idx="5">
                <c:v>2.4016772933312232</c:v>
              </c:pt>
              <c:pt idx="6">
                <c:v>2.6943103243723412</c:v>
              </c:pt>
              <c:pt idx="7">
                <c:v>3.0213707708300408</c:v>
              </c:pt>
              <c:pt idx="8">
                <c:v>3.3828586327043242</c:v>
              </c:pt>
              <c:pt idx="9">
                <c:v>3.7787739099952531</c:v>
              </c:pt>
              <c:pt idx="10">
                <c:v>4.2091166027027631</c:v>
              </c:pt>
              <c:pt idx="11">
                <c:v>4.6738867108268707</c:v>
              </c:pt>
              <c:pt idx="12">
                <c:v>5.1730842343675736</c:v>
              </c:pt>
              <c:pt idx="13">
                <c:v>5.7067091733249411</c:v>
              </c:pt>
              <c:pt idx="14">
                <c:v>6.2747615276988071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1.9672031492580719</c:v>
              </c:pt>
              <c:pt idx="1">
                <c:v>2.486138932014335</c:v>
              </c:pt>
              <c:pt idx="2">
                <c:v>3.1533420812723998</c:v>
              </c:pt>
              <c:pt idx="3">
                <c:v>3.9688125970322532</c:v>
              </c:pt>
              <c:pt idx="4">
                <c:v>4.9325504792938997</c:v>
              </c:pt>
              <c:pt idx="5">
                <c:v>6.0445557280573254</c:v>
              </c:pt>
              <c:pt idx="6">
                <c:v>7.30482834332257</c:v>
              </c:pt>
              <c:pt idx="7">
                <c:v>8.7133683250895171</c:v>
              </c:pt>
              <c:pt idx="8">
                <c:v>10.2701756733584</c:v>
              </c:pt>
              <c:pt idx="9">
                <c:v>11.97525038812908</c:v>
              </c:pt>
              <c:pt idx="10">
                <c:v>13.828592469401411</c:v>
              </c:pt>
              <c:pt idx="11">
                <c:v>15.8302019171756</c:v>
              </c:pt>
              <c:pt idx="12">
                <c:v>17.980078731451581</c:v>
              </c:pt>
              <c:pt idx="13">
                <c:v>20.27822291222909</c:v>
              </c:pt>
              <c:pt idx="14">
                <c:v>22.72463445950892</c:v>
              </c:pt>
            </c:numLit>
          </c:yVal>
          <c:smooth val="1"/>
        </c:ser>
        <c:ser>
          <c:idx val="3"/>
          <c:order val="3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1.4138556052830791</c:v>
              </c:pt>
              <c:pt idx="1">
                <c:v>1.5024099649477241</c:v>
              </c:pt>
              <c:pt idx="2">
                <c:v>1.61626557023081</c:v>
              </c:pt>
              <c:pt idx="3">
                <c:v>1.755422421132353</c:v>
              </c:pt>
              <c:pt idx="4">
                <c:v>1.919880517652369</c:v>
              </c:pt>
              <c:pt idx="5">
                <c:v>2.1096398597908488</c:v>
              </c:pt>
              <c:pt idx="6">
                <c:v>2.3247004475478001</c:v>
              </c:pt>
              <c:pt idx="7">
                <c:v>2.5650622809231991</c:v>
              </c:pt>
              <c:pt idx="8">
                <c:v>2.8307253599170741</c:v>
              </c:pt>
              <c:pt idx="9">
                <c:v>3.1216896845294109</c:v>
              </c:pt>
              <c:pt idx="10">
                <c:v>3.4379552547602121</c:v>
              </c:pt>
              <c:pt idx="11">
                <c:v>3.7795220706094801</c:v>
              </c:pt>
              <c:pt idx="12">
                <c:v>4.1463901320772054</c:v>
              </c:pt>
              <c:pt idx="13">
                <c:v>4.5385594391633974</c:v>
              </c:pt>
              <c:pt idx="14">
                <c:v>4.9560299918680961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1.7080830755082179</c:v>
              </c:pt>
              <c:pt idx="1">
                <c:v>2.0254810231257192</c:v>
              </c:pt>
              <c:pt idx="2">
                <c:v>2.4335640986339402</c:v>
              </c:pt>
              <c:pt idx="3">
                <c:v>2.93233230203287</c:v>
              </c:pt>
              <c:pt idx="4">
                <c:v>3.5217856333225179</c:v>
              </c:pt>
              <c:pt idx="5">
                <c:v>4.2019240925028916</c:v>
              </c:pt>
              <c:pt idx="6">
                <c:v>4.972747679573958</c:v>
              </c:pt>
              <c:pt idx="7">
                <c:v>5.8342563945357506</c:v>
              </c:pt>
              <c:pt idx="8">
                <c:v>6.7864502373882436</c:v>
              </c:pt>
              <c:pt idx="9">
                <c:v>7.8293292081314796</c:v>
              </c:pt>
              <c:pt idx="10">
                <c:v>8.9628933067654248</c:v>
              </c:pt>
              <c:pt idx="11">
                <c:v>10.18714253329007</c:v>
              </c:pt>
              <c:pt idx="12">
                <c:v>11.50207688770546</c:v>
              </c:pt>
              <c:pt idx="13">
                <c:v>12.90769637001152</c:v>
              </c:pt>
              <c:pt idx="14">
                <c:v>14.40400098020832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1.3737324957974331</c:v>
              </c:pt>
              <c:pt idx="1">
                <c:v>1.431079992528786</c:v>
              </c:pt>
              <c:pt idx="2">
                <c:v>1.5048124883262359</c:v>
              </c:pt>
              <c:pt idx="3">
                <c:v>1.5949299831897681</c:v>
              </c:pt>
              <c:pt idx="4">
                <c:v>1.701432477119394</c:v>
              </c:pt>
              <c:pt idx="5">
                <c:v>1.8243199701151429</c:v>
              </c:pt>
              <c:pt idx="6">
                <c:v>1.963592462176978</c:v>
              </c:pt>
              <c:pt idx="7">
                <c:v>2.1192499533048852</c:v>
              </c:pt>
              <c:pt idx="8">
                <c:v>2.2912924434989419</c:v>
              </c:pt>
              <c:pt idx="9">
                <c:v>2.479719932759072</c:v>
              </c:pt>
              <c:pt idx="10">
                <c:v>2.6845324210852999</c:v>
              </c:pt>
              <c:pt idx="11">
                <c:v>2.905729908477626</c:v>
              </c:pt>
              <c:pt idx="12">
                <c:v>3.1433123949360602</c:v>
              </c:pt>
              <c:pt idx="13">
                <c:v>3.3972798804605722</c:v>
              </c:pt>
              <c:pt idx="14">
                <c:v>3.6676323650512002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1.52642649970124</c:v>
              </c:pt>
              <c:pt idx="1">
                <c:v>1.70253599946887</c:v>
              </c:pt>
              <c:pt idx="2">
                <c:v>1.9289624991701091</c:v>
              </c:pt>
              <c:pt idx="3">
                <c:v>2.2057059988049601</c:v>
              </c:pt>
              <c:pt idx="4">
                <c:v>2.5327664983734142</c:v>
              </c:pt>
              <c:pt idx="5">
                <c:v>2.9101439978754788</c:v>
              </c:pt>
              <c:pt idx="6">
                <c:v>3.3378384973111528</c:v>
              </c:pt>
              <c:pt idx="7">
                <c:v>3.8158499966804089</c:v>
              </c:pt>
              <c:pt idx="8">
                <c:v>4.3441784959833534</c:v>
              </c:pt>
              <c:pt idx="9">
                <c:v>4.9228239952198534</c:v>
              </c:pt>
              <c:pt idx="10">
                <c:v>5.5517864943899404</c:v>
              </c:pt>
              <c:pt idx="11">
                <c:v>6.23106599349373</c:v>
              </c:pt>
              <c:pt idx="12">
                <c:v>6.9606624925310472</c:v>
              </c:pt>
              <c:pt idx="13">
                <c:v>7.740575991501915</c:v>
              </c:pt>
              <c:pt idx="14">
                <c:v>8.5708064904064596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1.358825186978174</c:v>
              </c:pt>
              <c:pt idx="1">
                <c:v>1.4045781101834189</c:v>
              </c:pt>
              <c:pt idx="2">
                <c:v>1.463403297161578</c:v>
              </c:pt>
              <c:pt idx="3">
                <c:v>1.5353007479126839</c:v>
              </c:pt>
              <c:pt idx="4">
                <c:v>1.620270462436737</c:v>
              </c:pt>
              <c:pt idx="5">
                <c:v>1.7183124407336781</c:v>
              </c:pt>
              <c:pt idx="6">
                <c:v>1.829426682803551</c:v>
              </c:pt>
              <c:pt idx="7">
                <c:v>1.9536131886463719</c:v>
              </c:pt>
              <c:pt idx="8">
                <c:v>2.09087195826211</c:v>
              </c:pt>
              <c:pt idx="9">
                <c:v>2.2412029916507752</c:v>
              </c:pt>
              <c:pt idx="10">
                <c:v>2.4046062888123898</c:v>
              </c:pt>
              <c:pt idx="11">
                <c:v>2.5810818497468881</c:v>
              </c:pt>
              <c:pt idx="12">
                <c:v>2.7706296744543351</c:v>
              </c:pt>
              <c:pt idx="13">
                <c:v>2.973249762934711</c:v>
              </c:pt>
              <c:pt idx="14">
                <c:v>3.1889421151880128</c:v>
              </c:pt>
            </c:numLit>
          </c:yVal>
          <c:smooth val="1"/>
        </c:ser>
        <c:ser>
          <c:idx val="1"/>
          <c:order val="9"/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'100008G1'!$O$41</c:f>
              <c:numCache>
                <c:formatCode>0</c:formatCode>
                <c:ptCount val="1"/>
                <c:pt idx="0">
                  <c:v>814</c:v>
                </c:pt>
              </c:numCache>
            </c:numRef>
          </c:xVal>
          <c:yVal>
            <c:numRef>
              <c:f>'100008G1'!$P$42</c:f>
              <c:numCache>
                <c:formatCode>0.00</c:formatCode>
                <c:ptCount val="1"/>
                <c:pt idx="0">
                  <c:v>2.6142592358143673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59200"/>
        <c:axId val="81065472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69568"/>
        <c:axId val="81067392"/>
      </c:scatterChart>
      <c:valAx>
        <c:axId val="81059200"/>
        <c:scaling>
          <c:orientation val="minMax"/>
          <c:max val="1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065472"/>
        <c:crosses val="autoZero"/>
        <c:crossBetween val="midCat"/>
        <c:majorUnit val="200"/>
      </c:valAx>
      <c:valAx>
        <c:axId val="81065472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6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059200"/>
        <c:crosses val="autoZero"/>
        <c:crossBetween val="midCat"/>
        <c:majorUnit val="1"/>
      </c:valAx>
      <c:valAx>
        <c:axId val="8106739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069568"/>
        <c:crosses val="max"/>
        <c:crossBetween val="midCat"/>
      </c:valAx>
      <c:valAx>
        <c:axId val="810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0673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'100008G2'!$N$28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116.2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'100008G2'!$N$30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'100008G2'!$Q$29:$Q$30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'100008G2'!$N$32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'100008G2'!$Q$31:$Q$32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'100008G2'!$N$34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'100008G2'!$Q$33:$Q$34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'100008G2'!$N$36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'100008G2'!$Q$35:$Q$36</c:f>
              <c:strCache>
                <c:ptCount val="2"/>
                <c:pt idx="0">
                  <c:v>N/A</c:v>
                </c:pt>
                <c:pt idx="1">
                  <c:v>1320</c:v>
                </c:pt>
              </c:strCache>
            </c:strRef>
          </c:xVal>
          <c:yVal>
            <c:numRef>
              <c:f>'100008G2'!$R$35:$R$36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'100008G2'!$N$38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'100008G2'!$Q$37:$Q$38</c:f>
              <c:numCache>
                <c:formatCode>0</c:formatCode>
                <c:ptCount val="2"/>
                <c:pt idx="0">
                  <c:v>29.268166724782787</c:v>
                </c:pt>
                <c:pt idx="1">
                  <c:v>1000</c:v>
                </c:pt>
              </c:numCache>
            </c:numRef>
          </c:xVal>
          <c:yVal>
            <c:numRef>
              <c:f>'100008G2'!$R$37:$R$38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80.570742161843029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48480"/>
        <c:axId val="8295040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'100008G2'!$P$36</c:f>
              <c:numCache>
                <c:formatCode>0.0</c:formatCode>
                <c:ptCount val="1"/>
                <c:pt idx="0">
                  <c:v>2.4644400994446656</c:v>
                </c:pt>
              </c:numCache>
            </c:numRef>
          </c:xVal>
          <c:yVal>
            <c:numRef>
              <c:f>'100008G2'!$P$22</c:f>
              <c:numCache>
                <c:formatCode>0.00</c:formatCode>
                <c:ptCount val="1"/>
                <c:pt idx="0">
                  <c:v>31.700644474102159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62688"/>
        <c:axId val="82960768"/>
      </c:scatterChart>
      <c:valAx>
        <c:axId val="8294848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2950400"/>
        <c:crossesAt val="0"/>
        <c:crossBetween val="midCat"/>
        <c:majorUnit val="200"/>
        <c:minorUnit val="100"/>
      </c:valAx>
      <c:valAx>
        <c:axId val="82950400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2948480"/>
        <c:crosses val="autoZero"/>
        <c:crossBetween val="midCat"/>
        <c:majorUnit val="20"/>
        <c:minorUnit val="1"/>
      </c:valAx>
      <c:valAx>
        <c:axId val="8296076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2962688"/>
        <c:crosses val="max"/>
        <c:crossBetween val="midCat"/>
        <c:majorUnit val="5"/>
      </c:valAx>
      <c:valAx>
        <c:axId val="8296268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829607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5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'100008G2'!$N$37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'100008G2'!$O$37:$O$38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'100008G2'!$P$37:$P$38</c:f>
              <c:numCache>
                <c:formatCode>0.0</c:formatCode>
                <c:ptCount val="2"/>
                <c:pt idx="0">
                  <c:v>0</c:v>
                </c:pt>
                <c:pt idx="1">
                  <c:v>2.1824000753368678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'100008G2'!$N$35</c:f>
              <c:strCache>
                <c:ptCount val="1"/>
                <c:pt idx="0">
                  <c:v>6 / 90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'100008G2'!$O$35:$O$36</c:f>
              <c:numCache>
                <c:formatCode>0</c:formatCode>
                <c:ptCount val="2"/>
                <c:pt idx="0">
                  <c:v>0</c:v>
                </c:pt>
                <c:pt idx="1">
                  <c:v>1320</c:v>
                </c:pt>
              </c:numCache>
            </c:numRef>
          </c:xVal>
          <c:yVal>
            <c:numRef>
              <c:f>'100008G2'!$P$35:$P$36</c:f>
              <c:numCache>
                <c:formatCode>0.0</c:formatCode>
                <c:ptCount val="2"/>
                <c:pt idx="0">
                  <c:v>0</c:v>
                </c:pt>
                <c:pt idx="1">
                  <c:v>2.4644400994446656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'100008G2'!$N$33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'100008G2'!$O$33:$O$34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'100008G2'!$P$33:$P$34</c:f>
              <c:numCache>
                <c:formatCode>0.0</c:formatCode>
                <c:ptCount val="2"/>
                <c:pt idx="0">
                  <c:v>0</c:v>
                </c:pt>
                <c:pt idx="1">
                  <c:v>2.1722401054716154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'100008G2'!$N$31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'100008G2'!$O$31:$O$32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'100008G2'!$P$31:$P$32</c:f>
              <c:numCache>
                <c:formatCode>0.0</c:formatCode>
                <c:ptCount val="2"/>
                <c:pt idx="0">
                  <c:v>0</c:v>
                </c:pt>
                <c:pt idx="1">
                  <c:v>1.730680105471615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'100008G2'!$N$29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'100008G2'!$O$29:$O$30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'100008G2'!$P$29:$P$30</c:f>
              <c:numCache>
                <c:formatCode>0.0</c:formatCode>
                <c:ptCount val="2"/>
                <c:pt idx="0">
                  <c:v>0</c:v>
                </c:pt>
                <c:pt idx="1">
                  <c:v>1.509900105471615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'100008G2'!$N$27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'100008G2'!$P$27:$P$28</c:f>
              <c:numCache>
                <c:formatCode>0.0</c:formatCode>
                <c:ptCount val="2"/>
                <c:pt idx="0">
                  <c:v>0</c:v>
                </c:pt>
                <c:pt idx="1">
                  <c:v>1.289120105471615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25920"/>
        <c:axId val="8302784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'100008G2'!$P$23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31936"/>
        <c:axId val="83030016"/>
      </c:scatterChart>
      <c:valAx>
        <c:axId val="8302592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027840"/>
        <c:crossesAt val="0"/>
        <c:crossBetween val="midCat"/>
        <c:majorUnit val="200"/>
        <c:minorUnit val="100"/>
      </c:valAx>
      <c:valAx>
        <c:axId val="830278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025920"/>
        <c:crosses val="autoZero"/>
        <c:crossBetween val="midCat"/>
        <c:majorUnit val="1"/>
        <c:minorUnit val="1"/>
      </c:valAx>
      <c:valAx>
        <c:axId val="83030016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3031936"/>
        <c:crosses val="max"/>
        <c:crossBetween val="midCat"/>
        <c:majorUnit val="1"/>
      </c:valAx>
      <c:valAx>
        <c:axId val="8303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030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'100008G3'!$O$1:$O$2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'100008G3'!$P$1:$P$2</c:f>
              <c:numCache>
                <c:formatCode>General</c:formatCode>
                <c:ptCount val="2"/>
                <c:pt idx="0">
                  <c:v>0</c:v>
                </c:pt>
                <c:pt idx="1">
                  <c:v>116.2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'100008G3'!$O$3:$O$5</c:f>
              <c:numCache>
                <c:formatCode>General</c:formatCode>
                <c:ptCount val="3"/>
                <c:pt idx="0">
                  <c:v>161.79828720671048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'100008G3'!$P$3:$P$5</c:f>
              <c:numCache>
                <c:formatCode>General</c:formatCode>
                <c:ptCount val="3"/>
                <c:pt idx="0">
                  <c:v>0</c:v>
                </c:pt>
                <c:pt idx="1">
                  <c:v>69.570742161843029</c:v>
                </c:pt>
                <c:pt idx="2">
                  <c:v>105.62446738815541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'100008G3'!$O$7:$O$8</c:f>
              <c:numCache>
                <c:formatCode>General</c:formatCode>
                <c:ptCount val="2"/>
                <c:pt idx="0">
                  <c:v>23.382554369143463</c:v>
                </c:pt>
                <c:pt idx="1">
                  <c:v>1400</c:v>
                </c:pt>
              </c:numCache>
            </c:numRef>
          </c:xVal>
          <c:yVal>
            <c:numRef>
              <c:f>'100008G3'!$P$7:$P$8</c:f>
              <c:numCache>
                <c:formatCode>General</c:formatCode>
                <c:ptCount val="2"/>
                <c:pt idx="0">
                  <c:v>0</c:v>
                </c:pt>
                <c:pt idx="1">
                  <c:v>114.25924798736111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'100008G3'!$O$6</c:f>
              <c:numCache>
                <c:formatCode>0</c:formatCode>
                <c:ptCount val="1"/>
                <c:pt idx="0">
                  <c:v>818</c:v>
                </c:pt>
              </c:numCache>
            </c:numRef>
          </c:xVal>
          <c:yVal>
            <c:numRef>
              <c:f>'100008G3'!$P$6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13696"/>
        <c:axId val="8322406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'100008G3'!$O$9:$O$10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'100008G3'!$P$9:$P$10</c:f>
              <c:numCache>
                <c:formatCode>General</c:formatCode>
                <c:ptCount val="2"/>
                <c:pt idx="0">
                  <c:v>0</c:v>
                </c:pt>
                <c:pt idx="1">
                  <c:v>25.560415407343275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25984"/>
        <c:axId val="83231872"/>
      </c:scatterChart>
      <c:valAx>
        <c:axId val="83213696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224064"/>
        <c:crossesAt val="0"/>
        <c:crossBetween val="midCat"/>
        <c:majorUnit val="200"/>
      </c:valAx>
      <c:valAx>
        <c:axId val="8322406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213696"/>
        <c:crosses val="autoZero"/>
        <c:crossBetween val="midCat"/>
        <c:majorUnit val="20"/>
        <c:minorUnit val="10"/>
      </c:valAx>
      <c:valAx>
        <c:axId val="8322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231872"/>
        <c:crosses val="autoZero"/>
        <c:crossBetween val="midCat"/>
      </c:valAx>
      <c:valAx>
        <c:axId val="83231872"/>
        <c:scaling>
          <c:orientation val="minMax"/>
          <c:max val="3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225984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2.4183574015865852</c:v>
              </c:pt>
              <c:pt idx="1">
                <c:v>3.2881909361539301</c:v>
              </c:pt>
              <c:pt idx="2">
                <c:v>4.4065483377405128</c:v>
              </c:pt>
              <c:pt idx="3">
                <c:v>5.7734296063463404</c:v>
              </c:pt>
              <c:pt idx="4">
                <c:v>7.3888347419713947</c:v>
              </c:pt>
              <c:pt idx="5">
                <c:v>9.2527637446157112</c:v>
              </c:pt>
              <c:pt idx="6">
                <c:v>11.365216614279401</c:v>
              </c:pt>
              <c:pt idx="7">
                <c:v>13.726193350962051</c:v>
              </c:pt>
              <c:pt idx="8">
                <c:v>16.33569395466408</c:v>
              </c:pt>
              <c:pt idx="9">
                <c:v>19.193718425385349</c:v>
              </c:pt>
              <c:pt idx="10">
                <c:v>22.300266763125862</c:v>
              </c:pt>
              <c:pt idx="11">
                <c:v>25.65533896788563</c:v>
              </c:pt>
              <c:pt idx="12">
                <c:v>29.25893503966461</c:v>
              </c:pt>
              <c:pt idx="13">
                <c:v>33.111054978462853</c:v>
              </c:pt>
              <c:pt idx="14">
                <c:v>37.211698784280287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1.454923369374703</c:v>
              </c:pt>
              <c:pt idx="1">
                <c:v>1.575419323332806</c:v>
              </c:pt>
              <c:pt idx="2">
                <c:v>1.7303426927075101</c:v>
              </c:pt>
              <c:pt idx="3">
                <c:v>1.919693477498813</c:v>
              </c:pt>
              <c:pt idx="4">
                <c:v>2.1434716777067369</c:v>
              </c:pt>
              <c:pt idx="5">
                <c:v>2.4016772933312232</c:v>
              </c:pt>
              <c:pt idx="6">
                <c:v>2.6943103243723412</c:v>
              </c:pt>
              <c:pt idx="7">
                <c:v>3.0213707708300408</c:v>
              </c:pt>
              <c:pt idx="8">
                <c:v>3.3828586327043242</c:v>
              </c:pt>
              <c:pt idx="9">
                <c:v>3.7787739099952531</c:v>
              </c:pt>
              <c:pt idx="10">
                <c:v>4.2091166027027631</c:v>
              </c:pt>
              <c:pt idx="11">
                <c:v>4.6738867108268707</c:v>
              </c:pt>
              <c:pt idx="12">
                <c:v>5.1730842343675736</c:v>
              </c:pt>
              <c:pt idx="13">
                <c:v>5.7067091733249411</c:v>
              </c:pt>
              <c:pt idx="14">
                <c:v>6.2747615276988071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1.9672031492580719</c:v>
              </c:pt>
              <c:pt idx="1">
                <c:v>2.486138932014335</c:v>
              </c:pt>
              <c:pt idx="2">
                <c:v>3.1533420812723998</c:v>
              </c:pt>
              <c:pt idx="3">
                <c:v>3.9688125970322532</c:v>
              </c:pt>
              <c:pt idx="4">
                <c:v>4.9325504792938997</c:v>
              </c:pt>
              <c:pt idx="5">
                <c:v>6.0445557280573254</c:v>
              </c:pt>
              <c:pt idx="6">
                <c:v>7.30482834332257</c:v>
              </c:pt>
              <c:pt idx="7">
                <c:v>8.7133683250895171</c:v>
              </c:pt>
              <c:pt idx="8">
                <c:v>10.2701756733584</c:v>
              </c:pt>
              <c:pt idx="9">
                <c:v>11.97525038812908</c:v>
              </c:pt>
              <c:pt idx="10">
                <c:v>13.828592469401411</c:v>
              </c:pt>
              <c:pt idx="11">
                <c:v>15.8302019171756</c:v>
              </c:pt>
              <c:pt idx="12">
                <c:v>17.980078731451581</c:v>
              </c:pt>
              <c:pt idx="13">
                <c:v>20.27822291222909</c:v>
              </c:pt>
              <c:pt idx="14">
                <c:v>22.72463445950892</c:v>
              </c:pt>
            </c:numLit>
          </c:yVal>
          <c:smooth val="1"/>
        </c:ser>
        <c:ser>
          <c:idx val="3"/>
          <c:order val="3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1.4138556052830791</c:v>
              </c:pt>
              <c:pt idx="1">
                <c:v>1.5024099649477241</c:v>
              </c:pt>
              <c:pt idx="2">
                <c:v>1.61626557023081</c:v>
              </c:pt>
              <c:pt idx="3">
                <c:v>1.755422421132353</c:v>
              </c:pt>
              <c:pt idx="4">
                <c:v>1.919880517652369</c:v>
              </c:pt>
              <c:pt idx="5">
                <c:v>2.1096398597908488</c:v>
              </c:pt>
              <c:pt idx="6">
                <c:v>2.3247004475478001</c:v>
              </c:pt>
              <c:pt idx="7">
                <c:v>2.5650622809231991</c:v>
              </c:pt>
              <c:pt idx="8">
                <c:v>2.8307253599170741</c:v>
              </c:pt>
              <c:pt idx="9">
                <c:v>3.1216896845294109</c:v>
              </c:pt>
              <c:pt idx="10">
                <c:v>3.4379552547602121</c:v>
              </c:pt>
              <c:pt idx="11">
                <c:v>3.7795220706094801</c:v>
              </c:pt>
              <c:pt idx="12">
                <c:v>4.1463901320772054</c:v>
              </c:pt>
              <c:pt idx="13">
                <c:v>4.5385594391633974</c:v>
              </c:pt>
              <c:pt idx="14">
                <c:v>4.9560299918680961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1.7080830755082179</c:v>
              </c:pt>
              <c:pt idx="1">
                <c:v>2.0254810231257192</c:v>
              </c:pt>
              <c:pt idx="2">
                <c:v>2.4335640986339402</c:v>
              </c:pt>
              <c:pt idx="3">
                <c:v>2.93233230203287</c:v>
              </c:pt>
              <c:pt idx="4">
                <c:v>3.5217856333225179</c:v>
              </c:pt>
              <c:pt idx="5">
                <c:v>4.2019240925028916</c:v>
              </c:pt>
              <c:pt idx="6">
                <c:v>4.972747679573958</c:v>
              </c:pt>
              <c:pt idx="7">
                <c:v>5.8342563945357506</c:v>
              </c:pt>
              <c:pt idx="8">
                <c:v>6.7864502373882436</c:v>
              </c:pt>
              <c:pt idx="9">
                <c:v>7.8293292081314796</c:v>
              </c:pt>
              <c:pt idx="10">
                <c:v>8.9628933067654248</c:v>
              </c:pt>
              <c:pt idx="11">
                <c:v>10.18714253329007</c:v>
              </c:pt>
              <c:pt idx="12">
                <c:v>11.50207688770546</c:v>
              </c:pt>
              <c:pt idx="13">
                <c:v>12.90769637001152</c:v>
              </c:pt>
              <c:pt idx="14">
                <c:v>14.40400098020832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1.3737324957974331</c:v>
              </c:pt>
              <c:pt idx="1">
                <c:v>1.431079992528786</c:v>
              </c:pt>
              <c:pt idx="2">
                <c:v>1.5048124883262359</c:v>
              </c:pt>
              <c:pt idx="3">
                <c:v>1.5949299831897681</c:v>
              </c:pt>
              <c:pt idx="4">
                <c:v>1.701432477119394</c:v>
              </c:pt>
              <c:pt idx="5">
                <c:v>1.8243199701151429</c:v>
              </c:pt>
              <c:pt idx="6">
                <c:v>1.963592462176978</c:v>
              </c:pt>
              <c:pt idx="7">
                <c:v>2.1192499533048852</c:v>
              </c:pt>
              <c:pt idx="8">
                <c:v>2.2912924434989419</c:v>
              </c:pt>
              <c:pt idx="9">
                <c:v>2.479719932759072</c:v>
              </c:pt>
              <c:pt idx="10">
                <c:v>2.6845324210852999</c:v>
              </c:pt>
              <c:pt idx="11">
                <c:v>2.905729908477626</c:v>
              </c:pt>
              <c:pt idx="12">
                <c:v>3.1433123949360602</c:v>
              </c:pt>
              <c:pt idx="13">
                <c:v>3.3972798804605722</c:v>
              </c:pt>
              <c:pt idx="14">
                <c:v>3.6676323650512002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1.52642649970124</c:v>
              </c:pt>
              <c:pt idx="1">
                <c:v>1.70253599946887</c:v>
              </c:pt>
              <c:pt idx="2">
                <c:v>1.9289624991701091</c:v>
              </c:pt>
              <c:pt idx="3">
                <c:v>2.2057059988049601</c:v>
              </c:pt>
              <c:pt idx="4">
                <c:v>2.5327664983734142</c:v>
              </c:pt>
              <c:pt idx="5">
                <c:v>2.9101439978754788</c:v>
              </c:pt>
              <c:pt idx="6">
                <c:v>3.3378384973111528</c:v>
              </c:pt>
              <c:pt idx="7">
                <c:v>3.8158499966804089</c:v>
              </c:pt>
              <c:pt idx="8">
                <c:v>4.3441784959833534</c:v>
              </c:pt>
              <c:pt idx="9">
                <c:v>4.9228239952198534</c:v>
              </c:pt>
              <c:pt idx="10">
                <c:v>5.5517864943899404</c:v>
              </c:pt>
              <c:pt idx="11">
                <c:v>6.23106599349373</c:v>
              </c:pt>
              <c:pt idx="12">
                <c:v>6.9606624925310472</c:v>
              </c:pt>
              <c:pt idx="13">
                <c:v>7.740575991501915</c:v>
              </c:pt>
              <c:pt idx="14">
                <c:v>8.5708064904064596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1.358825186978174</c:v>
              </c:pt>
              <c:pt idx="1">
                <c:v>1.4045781101834189</c:v>
              </c:pt>
              <c:pt idx="2">
                <c:v>1.463403297161578</c:v>
              </c:pt>
              <c:pt idx="3">
                <c:v>1.5353007479126839</c:v>
              </c:pt>
              <c:pt idx="4">
                <c:v>1.620270462436737</c:v>
              </c:pt>
              <c:pt idx="5">
                <c:v>1.7183124407336781</c:v>
              </c:pt>
              <c:pt idx="6">
                <c:v>1.829426682803551</c:v>
              </c:pt>
              <c:pt idx="7">
                <c:v>1.9536131886463719</c:v>
              </c:pt>
              <c:pt idx="8">
                <c:v>2.09087195826211</c:v>
              </c:pt>
              <c:pt idx="9">
                <c:v>2.2412029916507752</c:v>
              </c:pt>
              <c:pt idx="10">
                <c:v>2.4046062888123898</c:v>
              </c:pt>
              <c:pt idx="11">
                <c:v>2.5810818497468881</c:v>
              </c:pt>
              <c:pt idx="12">
                <c:v>2.7706296744543351</c:v>
              </c:pt>
              <c:pt idx="13">
                <c:v>2.973249762934711</c:v>
              </c:pt>
              <c:pt idx="14">
                <c:v>3.1889421151880128</c:v>
              </c:pt>
            </c:numLit>
          </c:yVal>
          <c:smooth val="1"/>
        </c:ser>
        <c:ser>
          <c:idx val="1"/>
          <c:order val="9"/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'100008G3'!$O$41</c:f>
              <c:numCache>
                <c:formatCode>0</c:formatCode>
                <c:ptCount val="1"/>
                <c:pt idx="0">
                  <c:v>818</c:v>
                </c:pt>
              </c:numCache>
            </c:numRef>
          </c:xVal>
          <c:yVal>
            <c:numRef>
              <c:f>'100008G3'!$P$42</c:f>
              <c:numCache>
                <c:formatCode>0.00</c:formatCode>
                <c:ptCount val="1"/>
                <c:pt idx="0">
                  <c:v>2.6220663410681961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89216"/>
        <c:axId val="83291136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99328"/>
        <c:axId val="83297408"/>
      </c:scatterChart>
      <c:valAx>
        <c:axId val="83289216"/>
        <c:scaling>
          <c:orientation val="minMax"/>
          <c:max val="1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291136"/>
        <c:crosses val="autoZero"/>
        <c:crossBetween val="midCat"/>
        <c:majorUnit val="200"/>
      </c:valAx>
      <c:valAx>
        <c:axId val="83291136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6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289216"/>
        <c:crosses val="autoZero"/>
        <c:crossBetween val="midCat"/>
        <c:majorUnit val="1"/>
      </c:valAx>
      <c:valAx>
        <c:axId val="8329740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299328"/>
        <c:crosses val="max"/>
        <c:crossBetween val="midCat"/>
      </c:valAx>
      <c:valAx>
        <c:axId val="8329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2974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'100008G4'!$N$28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116.2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'100008G4'!$N$30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'100008G4'!$Q$29:$Q$30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'100008G4'!$N$32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'100008G4'!$Q$31:$Q$32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'100008G4'!$N$34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'100008G4'!$Q$33:$Q$34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'100008G4'!$N$36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'100008G4'!$Q$35:$Q$36</c:f>
              <c:strCache>
                <c:ptCount val="2"/>
                <c:pt idx="0">
                  <c:v>N/A</c:v>
                </c:pt>
                <c:pt idx="1">
                  <c:v>1320</c:v>
                </c:pt>
              </c:strCache>
            </c:strRef>
          </c:xVal>
          <c:yVal>
            <c:numRef>
              <c:f>'100008G4'!$R$35:$R$36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'100008G4'!$N$38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'100008G4'!$Q$37:$Q$38</c:f>
              <c:numCache>
                <c:formatCode>0</c:formatCode>
                <c:ptCount val="2"/>
                <c:pt idx="0">
                  <c:v>161.79828720671048</c:v>
                </c:pt>
                <c:pt idx="1">
                  <c:v>1000</c:v>
                </c:pt>
              </c:numCache>
            </c:numRef>
          </c:xVal>
          <c:yVal>
            <c:numRef>
              <c:f>'100008G4'!$R$37:$R$38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69.570742161843029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66112"/>
        <c:axId val="8347238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'100008G4'!$P$36</c:f>
              <c:numCache>
                <c:formatCode>0.0</c:formatCode>
                <c:ptCount val="1"/>
                <c:pt idx="0">
                  <c:v>2.4644400994446656</c:v>
                </c:pt>
              </c:numCache>
            </c:numRef>
          </c:xVal>
          <c:yVal>
            <c:numRef>
              <c:f>'100008G4'!$P$22</c:f>
              <c:numCache>
                <c:formatCode>0.00</c:formatCode>
                <c:ptCount val="1"/>
                <c:pt idx="0">
                  <c:v>31.700644474102159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84672"/>
        <c:axId val="83474304"/>
      </c:scatterChart>
      <c:valAx>
        <c:axId val="83466112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472384"/>
        <c:crossesAt val="0"/>
        <c:crossBetween val="midCat"/>
        <c:majorUnit val="200"/>
        <c:minorUnit val="100"/>
      </c:valAx>
      <c:valAx>
        <c:axId val="8347238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466112"/>
        <c:crosses val="autoZero"/>
        <c:crossBetween val="midCat"/>
        <c:majorUnit val="20"/>
        <c:minorUnit val="1"/>
      </c:valAx>
      <c:valAx>
        <c:axId val="8347430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3484672"/>
        <c:crosses val="max"/>
        <c:crossBetween val="midCat"/>
        <c:majorUnit val="5"/>
      </c:valAx>
      <c:valAx>
        <c:axId val="8348467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834743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396"/>
          <c:h val="0.738209094421591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'100005G1'!$O$41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'100005G1'!$P$42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4.260798411785041</c:v>
              </c:pt>
              <c:pt idx="1">
                <c:v>6.5636416209511914</c:v>
              </c:pt>
              <c:pt idx="2">
                <c:v>9.5244400327362264</c:v>
              </c:pt>
              <c:pt idx="3">
                <c:v>13.14319364714015</c:v>
              </c:pt>
              <c:pt idx="4">
                <c:v>17.419902464162998</c:v>
              </c:pt>
              <c:pt idx="5">
                <c:v>22.354566483804799</c:v>
              </c:pt>
              <c:pt idx="6">
                <c:v>27.947185706065369</c:v>
              </c:pt>
              <c:pt idx="7">
                <c:v>34.197760130945063</c:v>
              </c:pt>
              <c:pt idx="8">
                <c:v>41.106289758442919</c:v>
              </c:pt>
              <c:pt idx="9">
                <c:v>48.672774588560657</c:v>
              </c:pt>
              <c:pt idx="10">
                <c:v>56.897214621296342</c:v>
              </c:pt>
              <c:pt idx="11">
                <c:v>65.779609856651035</c:v>
              </c:pt>
              <c:pt idx="12">
                <c:v>75.319960294626028</c:v>
              </c:pt>
              <c:pt idx="13">
                <c:v>85.518265935219645</c:v>
              </c:pt>
              <c:pt idx="14">
                <c:v>96.374526778430749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1.6525121433241761</c:v>
              </c:pt>
              <c:pt idx="1">
                <c:v>1.9266882547985451</c:v>
              </c:pt>
              <c:pt idx="2">
                <c:v>2.2792003981227138</c:v>
              </c:pt>
              <c:pt idx="3">
                <c:v>2.7100485732966981</c:v>
              </c:pt>
              <c:pt idx="4">
                <c:v>3.2192327803205152</c:v>
              </c:pt>
              <c:pt idx="5">
                <c:v>3.806753019194117</c:v>
              </c:pt>
              <c:pt idx="6">
                <c:v>4.4726092899175924</c:v>
              </c:pt>
              <c:pt idx="7">
                <c:v>5.2168015924908504</c:v>
              </c:pt>
              <c:pt idx="8">
                <c:v>6.0393299269139424</c:v>
              </c:pt>
              <c:pt idx="9">
                <c:v>6.9401942931868223</c:v>
              </c:pt>
              <c:pt idx="10">
                <c:v>7.9193946913095434</c:v>
              </c:pt>
              <c:pt idx="11">
                <c:v>8.9769311212820604</c:v>
              </c:pt>
              <c:pt idx="12">
                <c:v>10.112803583104411</c:v>
              </c:pt>
              <c:pt idx="13">
                <c:v>11.327012076776571</c:v>
              </c:pt>
              <c:pt idx="14">
                <c:v>12.61955660229855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3.039397255128145</c:v>
              </c:pt>
              <c:pt idx="1">
                <c:v>4.3922617868944824</c:v>
              </c:pt>
              <c:pt idx="2">
                <c:v>6.1316590420226804</c:v>
              </c:pt>
              <c:pt idx="3">
                <c:v>8.2575890205125742</c:v>
              </c:pt>
              <c:pt idx="4">
                <c:v>10.770051722364339</c:v>
              </c:pt>
              <c:pt idx="5">
                <c:v>13.66904714757792</c:v>
              </c:pt>
              <c:pt idx="6">
                <c:v>16.954575296153291</c:v>
              </c:pt>
              <c:pt idx="7">
                <c:v>20.626636168090531</c:v>
              </c:pt>
              <c:pt idx="8">
                <c:v>24.68522976338949</c:v>
              </c:pt>
              <c:pt idx="9">
                <c:v>29.13035608205033</c:v>
              </c:pt>
              <c:pt idx="10">
                <c:v>33.962015124073382</c:v>
              </c:pt>
              <c:pt idx="11">
                <c:v>39.180206889457352</c:v>
              </c:pt>
              <c:pt idx="12">
                <c:v>44.784931378203588</c:v>
              </c:pt>
              <c:pt idx="13">
                <c:v>50.776188590311648</c:v>
              </c:pt>
              <c:pt idx="14">
                <c:v>57.153978525781497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1.541330182156966</c:v>
              </c:pt>
              <c:pt idx="1">
                <c:v>1.7290314349457181</c:v>
              </c:pt>
              <c:pt idx="2">
                <c:v>1.970361617102673</c:v>
              </c:pt>
              <c:pt idx="3">
                <c:v>2.265320728627898</c:v>
              </c:pt>
              <c:pt idx="4">
                <c:v>2.6139087695212599</c:v>
              </c:pt>
              <c:pt idx="5">
                <c:v>3.0161257397828671</c:v>
              </c:pt>
              <c:pt idx="6">
                <c:v>3.4719716394126952</c:v>
              </c:pt>
              <c:pt idx="7">
                <c:v>3.9814464684107351</c:v>
              </c:pt>
              <c:pt idx="8">
                <c:v>4.5445502267769049</c:v>
              </c:pt>
              <c:pt idx="9">
                <c:v>5.1612829145114576</c:v>
              </c:pt>
              <c:pt idx="10">
                <c:v>5.8316445316141534</c:v>
              </c:pt>
              <c:pt idx="11">
                <c:v>6.5556350780849897</c:v>
              </c:pt>
              <c:pt idx="12">
                <c:v>7.3332545539241529</c:v>
              </c:pt>
              <c:pt idx="13">
                <c:v>8.1645029591314806</c:v>
              </c:pt>
              <c:pt idx="14">
                <c:v>9.0493802937070242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2.3378865054065141</c:v>
              </c:pt>
              <c:pt idx="1">
                <c:v>3.1451315651671701</c:v>
              </c:pt>
              <c:pt idx="2">
                <c:v>4.1830180705736506</c:v>
              </c:pt>
              <c:pt idx="3">
                <c:v>5.4515460216260578</c:v>
              </c:pt>
              <c:pt idx="4">
                <c:v>6.9507154183243562</c:v>
              </c:pt>
              <c:pt idx="5">
                <c:v>8.6805262606685467</c:v>
              </c:pt>
              <c:pt idx="6">
                <c:v>10.640978548658619</c:v>
              </c:pt>
              <c:pt idx="7">
                <c:v>12.832072282294609</c:v>
              </c:pt>
              <c:pt idx="8">
                <c:v>15.25380746157647</c:v>
              </c:pt>
              <c:pt idx="9">
                <c:v>17.906184086504229</c:v>
              </c:pt>
              <c:pt idx="10">
                <c:v>20.789202157077781</c:v>
              </c:pt>
              <c:pt idx="11">
                <c:v>23.90286167329743</c:v>
              </c:pt>
              <c:pt idx="12">
                <c:v>27.247162635162681</c:v>
              </c:pt>
              <c:pt idx="13">
                <c:v>30.822105042674188</c:v>
              </c:pt>
              <c:pt idx="14">
                <c:v>34.627688895831398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1.4327056660818001</c:v>
              </c:pt>
              <c:pt idx="1">
                <c:v>1.5359211841454099</c:v>
              </c:pt>
              <c:pt idx="2">
                <c:v>1.668626850227219</c:v>
              </c:pt>
              <c:pt idx="3">
                <c:v>1.830822664327195</c:v>
              </c:pt>
              <c:pt idx="4">
                <c:v>2.0225086264453491</c:v>
              </c:pt>
              <c:pt idx="5">
                <c:v>2.2436847365817032</c:v>
              </c:pt>
              <c:pt idx="6">
                <c:v>2.4943509947361782</c:v>
              </c:pt>
              <c:pt idx="7">
                <c:v>2.7745074009088748</c:v>
              </c:pt>
              <c:pt idx="8">
                <c:v>3.084153955099739</c:v>
              </c:pt>
              <c:pt idx="9">
                <c:v>3.42329065730878</c:v>
              </c:pt>
              <c:pt idx="10">
                <c:v>3.7919175075360219</c:v>
              </c:pt>
              <c:pt idx="11">
                <c:v>4.1900345057813846</c:v>
              </c:pt>
              <c:pt idx="12">
                <c:v>4.6176416520449681</c:v>
              </c:pt>
              <c:pt idx="13">
                <c:v>5.0747389463266854</c:v>
              </c:pt>
              <c:pt idx="14">
                <c:v>5.5613263886266484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1.8460911811691409</c:v>
              </c:pt>
              <c:pt idx="1">
                <c:v>2.270828766522941</c:v>
              </c:pt>
              <c:pt idx="2">
                <c:v>2.8169199476920599</c:v>
              </c:pt>
              <c:pt idx="3">
                <c:v>3.4843647246765701</c:v>
              </c:pt>
              <c:pt idx="4">
                <c:v>4.2731630974764414</c:v>
              </c:pt>
              <c:pt idx="5">
                <c:v>5.1833150660916676</c:v>
              </c:pt>
              <c:pt idx="6">
                <c:v>6.2148206305222704</c:v>
              </c:pt>
              <c:pt idx="7">
                <c:v>7.3676797907682401</c:v>
              </c:pt>
              <c:pt idx="8">
                <c:v>8.6418925468295686</c:v>
              </c:pt>
              <c:pt idx="9">
                <c:v>10.03745889870628</c:v>
              </c:pt>
              <c:pt idx="10">
                <c:v>11.55437884639832</c:v>
              </c:pt>
              <c:pt idx="11">
                <c:v>13.19265238990576</c:v>
              </c:pt>
              <c:pt idx="12">
                <c:v>14.95227952922858</c:v>
              </c:pt>
              <c:pt idx="13">
                <c:v>16.83326026436669</c:v>
              </c:pt>
              <c:pt idx="14">
                <c:v>18.835594595320089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1.392347398060338</c:v>
              </c:pt>
              <c:pt idx="1">
                <c:v>1.464173152107267</c:v>
              </c:pt>
              <c:pt idx="2">
                <c:v>1.556520550167606</c:v>
              </c:pt>
              <c:pt idx="3">
                <c:v>1.669389592241352</c:v>
              </c:pt>
              <c:pt idx="4">
                <c:v>1.802780278328507</c:v>
              </c:pt>
              <c:pt idx="5">
                <c:v>1.9566926084290699</c:v>
              </c:pt>
              <c:pt idx="6">
                <c:v>2.131126582543041</c:v>
              </c:pt>
              <c:pt idx="7">
                <c:v>2.326082200670422</c:v>
              </c:pt>
              <c:pt idx="8">
                <c:v>2.5415594628112101</c:v>
              </c:pt>
              <c:pt idx="9">
                <c:v>2.7775583689654271</c:v>
              </c:pt>
              <c:pt idx="10">
                <c:v>3.0340789191329991</c:v>
              </c:pt>
              <c:pt idx="11">
                <c:v>3.3111211133140181</c:v>
              </c:pt>
              <c:pt idx="12">
                <c:v>3.60868495150845</c:v>
              </c:pt>
              <c:pt idx="13">
                <c:v>3.9267704337162539</c:v>
              </c:pt>
              <c:pt idx="14">
                <c:v>4.2653775599374697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15552"/>
        <c:axId val="6662592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30016"/>
        <c:axId val="66627840"/>
      </c:scatterChart>
      <c:valAx>
        <c:axId val="66615552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66625920"/>
        <c:crosses val="autoZero"/>
        <c:crossBetween val="midCat"/>
        <c:majorUnit val="200"/>
      </c:valAx>
      <c:valAx>
        <c:axId val="666259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7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66615552"/>
        <c:crosses val="autoZero"/>
        <c:crossBetween val="midCat"/>
        <c:majorUnit val="1"/>
      </c:valAx>
      <c:valAx>
        <c:axId val="6662784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5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66630016"/>
        <c:crosses val="max"/>
        <c:crossBetween val="midCat"/>
      </c:valAx>
      <c:valAx>
        <c:axId val="6663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627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899" l="0.70000000000000095" r="0.70000000000000095" t="0.75000000000000899" header="0.3" footer="0.3"/>
    <c:pageSetup paperSize="9" orientation="landscape" horizontalDpi="-3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'100008G4'!$N$37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'100008G4'!$O$37:$O$38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'100008G4'!$P$37:$P$38</c:f>
              <c:numCache>
                <c:formatCode>0.0</c:formatCode>
                <c:ptCount val="2"/>
                <c:pt idx="0">
                  <c:v>0</c:v>
                </c:pt>
                <c:pt idx="1">
                  <c:v>2.1824000753368678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'100008G4'!$N$35</c:f>
              <c:strCache>
                <c:ptCount val="1"/>
                <c:pt idx="0">
                  <c:v>6 / 90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'100008G4'!$O$35:$O$36</c:f>
              <c:numCache>
                <c:formatCode>0</c:formatCode>
                <c:ptCount val="2"/>
                <c:pt idx="0">
                  <c:v>0</c:v>
                </c:pt>
                <c:pt idx="1">
                  <c:v>1320</c:v>
                </c:pt>
              </c:numCache>
            </c:numRef>
          </c:xVal>
          <c:yVal>
            <c:numRef>
              <c:f>'100008G4'!$P$35:$P$36</c:f>
              <c:numCache>
                <c:formatCode>0.0</c:formatCode>
                <c:ptCount val="2"/>
                <c:pt idx="0">
                  <c:v>0</c:v>
                </c:pt>
                <c:pt idx="1">
                  <c:v>2.4644400994446656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'100008G4'!$N$33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'100008G4'!$O$33:$O$34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'100008G4'!$P$33:$P$34</c:f>
              <c:numCache>
                <c:formatCode>0.0</c:formatCode>
                <c:ptCount val="2"/>
                <c:pt idx="0">
                  <c:v>0</c:v>
                </c:pt>
                <c:pt idx="1">
                  <c:v>2.1722401054716154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'100008G4'!$N$31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'100008G4'!$O$31:$O$32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'100008G4'!$P$31:$P$32</c:f>
              <c:numCache>
                <c:formatCode>0.0</c:formatCode>
                <c:ptCount val="2"/>
                <c:pt idx="0">
                  <c:v>0</c:v>
                </c:pt>
                <c:pt idx="1">
                  <c:v>1.730680105471615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'100008G4'!$N$29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'100008G4'!$O$29:$O$30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'100008G4'!$P$29:$P$30</c:f>
              <c:numCache>
                <c:formatCode>0.0</c:formatCode>
                <c:ptCount val="2"/>
                <c:pt idx="0">
                  <c:v>0</c:v>
                </c:pt>
                <c:pt idx="1">
                  <c:v>1.509900105471615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'100008G4'!$N$27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'100008G4'!$P$27:$P$28</c:f>
              <c:numCache>
                <c:formatCode>0.0</c:formatCode>
                <c:ptCount val="2"/>
                <c:pt idx="0">
                  <c:v>0</c:v>
                </c:pt>
                <c:pt idx="1">
                  <c:v>1.289120105471615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35360"/>
        <c:axId val="8353728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'100008G4'!$P$23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41376"/>
        <c:axId val="83539456"/>
      </c:scatterChart>
      <c:valAx>
        <c:axId val="8353536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537280"/>
        <c:crossesAt val="0"/>
        <c:crossBetween val="midCat"/>
        <c:majorUnit val="200"/>
        <c:minorUnit val="100"/>
      </c:valAx>
      <c:valAx>
        <c:axId val="8353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535360"/>
        <c:crosses val="autoZero"/>
        <c:crossBetween val="midCat"/>
        <c:majorUnit val="1"/>
        <c:minorUnit val="1"/>
      </c:valAx>
      <c:valAx>
        <c:axId val="83539456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3541376"/>
        <c:crosses val="max"/>
        <c:crossBetween val="midCat"/>
        <c:majorUnit val="1"/>
      </c:valAx>
      <c:valAx>
        <c:axId val="8354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5394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'100008G5'!$O$1:$O$2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'100008G5'!$P$1:$P$2</c:f>
              <c:numCache>
                <c:formatCode>General</c:formatCode>
                <c:ptCount val="2"/>
                <c:pt idx="0">
                  <c:v>0</c:v>
                </c:pt>
                <c:pt idx="1">
                  <c:v>116.2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'100008G5'!$O$3:$O$5</c:f>
              <c:numCache>
                <c:formatCode>General</c:formatCode>
                <c:ptCount val="3"/>
                <c:pt idx="0">
                  <c:v>246.13563660430088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'100008G5'!$P$3:$P$5</c:f>
              <c:numCache>
                <c:formatCode>General</c:formatCode>
                <c:ptCount val="3"/>
                <c:pt idx="0">
                  <c:v>0</c:v>
                </c:pt>
                <c:pt idx="1">
                  <c:v>62.570742161843029</c:v>
                </c:pt>
                <c:pt idx="2">
                  <c:v>99.874467388155409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'100008G5'!$O$7:$O$8</c:f>
              <c:numCache>
                <c:formatCode>General</c:formatCode>
                <c:ptCount val="2"/>
                <c:pt idx="0">
                  <c:v>25.797503506558542</c:v>
                </c:pt>
                <c:pt idx="1">
                  <c:v>1400</c:v>
                </c:pt>
              </c:numCache>
            </c:numRef>
          </c:xVal>
          <c:yVal>
            <c:numRef>
              <c:f>'100008G5'!$P$7:$P$8</c:f>
              <c:numCache>
                <c:formatCode>General</c:formatCode>
                <c:ptCount val="2"/>
                <c:pt idx="0">
                  <c:v>0</c:v>
                </c:pt>
                <c:pt idx="1">
                  <c:v>114.05880720895564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'100008G5'!$O$6</c:f>
              <c:numCache>
                <c:formatCode>0</c:formatCode>
                <c:ptCount val="1"/>
                <c:pt idx="0">
                  <c:v>820</c:v>
                </c:pt>
              </c:numCache>
            </c:numRef>
          </c:xVal>
          <c:yVal>
            <c:numRef>
              <c:f>'100008G5'!$P$6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49664"/>
        <c:axId val="8365158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'100008G5'!$O$9:$O$10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'100008G5'!$P$9:$P$10</c:f>
              <c:numCache>
                <c:formatCode>General</c:formatCode>
                <c:ptCount val="2"/>
                <c:pt idx="0">
                  <c:v>0</c:v>
                </c:pt>
                <c:pt idx="1">
                  <c:v>25.560415407343275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61952"/>
        <c:axId val="83663488"/>
      </c:scatterChart>
      <c:valAx>
        <c:axId val="8364966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651584"/>
        <c:crossesAt val="0"/>
        <c:crossBetween val="midCat"/>
        <c:majorUnit val="200"/>
      </c:valAx>
      <c:valAx>
        <c:axId val="8365158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649664"/>
        <c:crosses val="autoZero"/>
        <c:crossBetween val="midCat"/>
        <c:majorUnit val="20"/>
        <c:minorUnit val="10"/>
      </c:valAx>
      <c:valAx>
        <c:axId val="8366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663488"/>
        <c:crosses val="autoZero"/>
        <c:crossBetween val="midCat"/>
      </c:valAx>
      <c:valAx>
        <c:axId val="83663488"/>
        <c:scaling>
          <c:orientation val="minMax"/>
          <c:max val="3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661952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2.4183574015865852</c:v>
              </c:pt>
              <c:pt idx="1">
                <c:v>3.2881909361539301</c:v>
              </c:pt>
              <c:pt idx="2">
                <c:v>4.4065483377405128</c:v>
              </c:pt>
              <c:pt idx="3">
                <c:v>5.7734296063463404</c:v>
              </c:pt>
              <c:pt idx="4">
                <c:v>7.3888347419713947</c:v>
              </c:pt>
              <c:pt idx="5">
                <c:v>9.2527637446157112</c:v>
              </c:pt>
              <c:pt idx="6">
                <c:v>11.365216614279401</c:v>
              </c:pt>
              <c:pt idx="7">
                <c:v>13.726193350962051</c:v>
              </c:pt>
              <c:pt idx="8">
                <c:v>16.33569395466408</c:v>
              </c:pt>
              <c:pt idx="9">
                <c:v>19.193718425385349</c:v>
              </c:pt>
              <c:pt idx="10">
                <c:v>22.300266763125862</c:v>
              </c:pt>
              <c:pt idx="11">
                <c:v>25.65533896788563</c:v>
              </c:pt>
              <c:pt idx="12">
                <c:v>29.25893503966461</c:v>
              </c:pt>
              <c:pt idx="13">
                <c:v>33.111054978462853</c:v>
              </c:pt>
              <c:pt idx="14">
                <c:v>37.211698784280287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1.454923369374703</c:v>
              </c:pt>
              <c:pt idx="1">
                <c:v>1.575419323332806</c:v>
              </c:pt>
              <c:pt idx="2">
                <c:v>1.7303426927075101</c:v>
              </c:pt>
              <c:pt idx="3">
                <c:v>1.919693477498813</c:v>
              </c:pt>
              <c:pt idx="4">
                <c:v>2.1434716777067369</c:v>
              </c:pt>
              <c:pt idx="5">
                <c:v>2.4016772933312232</c:v>
              </c:pt>
              <c:pt idx="6">
                <c:v>2.6943103243723412</c:v>
              </c:pt>
              <c:pt idx="7">
                <c:v>3.0213707708300408</c:v>
              </c:pt>
              <c:pt idx="8">
                <c:v>3.3828586327043242</c:v>
              </c:pt>
              <c:pt idx="9">
                <c:v>3.7787739099952531</c:v>
              </c:pt>
              <c:pt idx="10">
                <c:v>4.2091166027027631</c:v>
              </c:pt>
              <c:pt idx="11">
                <c:v>4.6738867108268707</c:v>
              </c:pt>
              <c:pt idx="12">
                <c:v>5.1730842343675736</c:v>
              </c:pt>
              <c:pt idx="13">
                <c:v>5.7067091733249411</c:v>
              </c:pt>
              <c:pt idx="14">
                <c:v>6.2747615276988071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1.9672031492580719</c:v>
              </c:pt>
              <c:pt idx="1">
                <c:v>2.486138932014335</c:v>
              </c:pt>
              <c:pt idx="2">
                <c:v>3.1533420812723998</c:v>
              </c:pt>
              <c:pt idx="3">
                <c:v>3.9688125970322532</c:v>
              </c:pt>
              <c:pt idx="4">
                <c:v>4.9325504792938997</c:v>
              </c:pt>
              <c:pt idx="5">
                <c:v>6.0445557280573254</c:v>
              </c:pt>
              <c:pt idx="6">
                <c:v>7.30482834332257</c:v>
              </c:pt>
              <c:pt idx="7">
                <c:v>8.7133683250895171</c:v>
              </c:pt>
              <c:pt idx="8">
                <c:v>10.2701756733584</c:v>
              </c:pt>
              <c:pt idx="9">
                <c:v>11.97525038812908</c:v>
              </c:pt>
              <c:pt idx="10">
                <c:v>13.828592469401411</c:v>
              </c:pt>
              <c:pt idx="11">
                <c:v>15.8302019171756</c:v>
              </c:pt>
              <c:pt idx="12">
                <c:v>17.980078731451581</c:v>
              </c:pt>
              <c:pt idx="13">
                <c:v>20.27822291222909</c:v>
              </c:pt>
              <c:pt idx="14">
                <c:v>22.72463445950892</c:v>
              </c:pt>
            </c:numLit>
          </c:yVal>
          <c:smooth val="1"/>
        </c:ser>
        <c:ser>
          <c:idx val="3"/>
          <c:order val="3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1.4138556052830791</c:v>
              </c:pt>
              <c:pt idx="1">
                <c:v>1.5024099649477241</c:v>
              </c:pt>
              <c:pt idx="2">
                <c:v>1.61626557023081</c:v>
              </c:pt>
              <c:pt idx="3">
                <c:v>1.755422421132353</c:v>
              </c:pt>
              <c:pt idx="4">
                <c:v>1.919880517652369</c:v>
              </c:pt>
              <c:pt idx="5">
                <c:v>2.1096398597908488</c:v>
              </c:pt>
              <c:pt idx="6">
                <c:v>2.3247004475478001</c:v>
              </c:pt>
              <c:pt idx="7">
                <c:v>2.5650622809231991</c:v>
              </c:pt>
              <c:pt idx="8">
                <c:v>2.8307253599170741</c:v>
              </c:pt>
              <c:pt idx="9">
                <c:v>3.1216896845294109</c:v>
              </c:pt>
              <c:pt idx="10">
                <c:v>3.4379552547602121</c:v>
              </c:pt>
              <c:pt idx="11">
                <c:v>3.7795220706094801</c:v>
              </c:pt>
              <c:pt idx="12">
                <c:v>4.1463901320772054</c:v>
              </c:pt>
              <c:pt idx="13">
                <c:v>4.5385594391633974</c:v>
              </c:pt>
              <c:pt idx="14">
                <c:v>4.9560299918680961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1.7080830755082179</c:v>
              </c:pt>
              <c:pt idx="1">
                <c:v>2.0254810231257192</c:v>
              </c:pt>
              <c:pt idx="2">
                <c:v>2.4335640986339402</c:v>
              </c:pt>
              <c:pt idx="3">
                <c:v>2.93233230203287</c:v>
              </c:pt>
              <c:pt idx="4">
                <c:v>3.5217856333225179</c:v>
              </c:pt>
              <c:pt idx="5">
                <c:v>4.2019240925028916</c:v>
              </c:pt>
              <c:pt idx="6">
                <c:v>4.972747679573958</c:v>
              </c:pt>
              <c:pt idx="7">
                <c:v>5.8342563945357506</c:v>
              </c:pt>
              <c:pt idx="8">
                <c:v>6.7864502373882436</c:v>
              </c:pt>
              <c:pt idx="9">
                <c:v>7.8293292081314796</c:v>
              </c:pt>
              <c:pt idx="10">
                <c:v>8.9628933067654248</c:v>
              </c:pt>
              <c:pt idx="11">
                <c:v>10.18714253329007</c:v>
              </c:pt>
              <c:pt idx="12">
                <c:v>11.50207688770546</c:v>
              </c:pt>
              <c:pt idx="13">
                <c:v>12.90769637001152</c:v>
              </c:pt>
              <c:pt idx="14">
                <c:v>14.40400098020832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1.3737324957974331</c:v>
              </c:pt>
              <c:pt idx="1">
                <c:v>1.431079992528786</c:v>
              </c:pt>
              <c:pt idx="2">
                <c:v>1.5048124883262359</c:v>
              </c:pt>
              <c:pt idx="3">
                <c:v>1.5949299831897681</c:v>
              </c:pt>
              <c:pt idx="4">
                <c:v>1.701432477119394</c:v>
              </c:pt>
              <c:pt idx="5">
                <c:v>1.8243199701151429</c:v>
              </c:pt>
              <c:pt idx="6">
                <c:v>1.963592462176978</c:v>
              </c:pt>
              <c:pt idx="7">
                <c:v>2.1192499533048852</c:v>
              </c:pt>
              <c:pt idx="8">
                <c:v>2.2912924434989419</c:v>
              </c:pt>
              <c:pt idx="9">
                <c:v>2.479719932759072</c:v>
              </c:pt>
              <c:pt idx="10">
                <c:v>2.6845324210852999</c:v>
              </c:pt>
              <c:pt idx="11">
                <c:v>2.905729908477626</c:v>
              </c:pt>
              <c:pt idx="12">
                <c:v>3.1433123949360602</c:v>
              </c:pt>
              <c:pt idx="13">
                <c:v>3.3972798804605722</c:v>
              </c:pt>
              <c:pt idx="14">
                <c:v>3.6676323650512002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1.52642649970124</c:v>
              </c:pt>
              <c:pt idx="1">
                <c:v>1.70253599946887</c:v>
              </c:pt>
              <c:pt idx="2">
                <c:v>1.9289624991701091</c:v>
              </c:pt>
              <c:pt idx="3">
                <c:v>2.2057059988049601</c:v>
              </c:pt>
              <c:pt idx="4">
                <c:v>2.5327664983734142</c:v>
              </c:pt>
              <c:pt idx="5">
                <c:v>2.9101439978754788</c:v>
              </c:pt>
              <c:pt idx="6">
                <c:v>3.3378384973111528</c:v>
              </c:pt>
              <c:pt idx="7">
                <c:v>3.8158499966804089</c:v>
              </c:pt>
              <c:pt idx="8">
                <c:v>4.3441784959833534</c:v>
              </c:pt>
              <c:pt idx="9">
                <c:v>4.9228239952198534</c:v>
              </c:pt>
              <c:pt idx="10">
                <c:v>5.5517864943899404</c:v>
              </c:pt>
              <c:pt idx="11">
                <c:v>6.23106599349373</c:v>
              </c:pt>
              <c:pt idx="12">
                <c:v>6.9606624925310472</c:v>
              </c:pt>
              <c:pt idx="13">
                <c:v>7.740575991501915</c:v>
              </c:pt>
              <c:pt idx="14">
                <c:v>8.5708064904064596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1.358825186978174</c:v>
              </c:pt>
              <c:pt idx="1">
                <c:v>1.4045781101834189</c:v>
              </c:pt>
              <c:pt idx="2">
                <c:v>1.463403297161578</c:v>
              </c:pt>
              <c:pt idx="3">
                <c:v>1.5353007479126839</c:v>
              </c:pt>
              <c:pt idx="4">
                <c:v>1.620270462436737</c:v>
              </c:pt>
              <c:pt idx="5">
                <c:v>1.7183124407336781</c:v>
              </c:pt>
              <c:pt idx="6">
                <c:v>1.829426682803551</c:v>
              </c:pt>
              <c:pt idx="7">
                <c:v>1.9536131886463719</c:v>
              </c:pt>
              <c:pt idx="8">
                <c:v>2.09087195826211</c:v>
              </c:pt>
              <c:pt idx="9">
                <c:v>2.2412029916507752</c:v>
              </c:pt>
              <c:pt idx="10">
                <c:v>2.4046062888123898</c:v>
              </c:pt>
              <c:pt idx="11">
                <c:v>2.5810818497468881</c:v>
              </c:pt>
              <c:pt idx="12">
                <c:v>2.7706296744543351</c:v>
              </c:pt>
              <c:pt idx="13">
                <c:v>2.973249762934711</c:v>
              </c:pt>
              <c:pt idx="14">
                <c:v>3.1889421151880128</c:v>
              </c:pt>
            </c:numLit>
          </c:yVal>
          <c:smooth val="1"/>
        </c:ser>
        <c:ser>
          <c:idx val="1"/>
          <c:order val="9"/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'100008G5'!$O$41</c:f>
              <c:numCache>
                <c:formatCode>0</c:formatCode>
                <c:ptCount val="1"/>
                <c:pt idx="0">
                  <c:v>820</c:v>
                </c:pt>
              </c:numCache>
            </c:numRef>
          </c:xVal>
          <c:yVal>
            <c:numRef>
              <c:f>'100008G5'!$P$42</c:f>
              <c:numCache>
                <c:formatCode>0.00</c:formatCode>
                <c:ptCount val="1"/>
                <c:pt idx="0">
                  <c:v>2.6277861541779868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74080"/>
        <c:axId val="83788544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92640"/>
        <c:axId val="83790464"/>
      </c:scatterChart>
      <c:valAx>
        <c:axId val="83774080"/>
        <c:scaling>
          <c:orientation val="minMax"/>
          <c:max val="1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788544"/>
        <c:crosses val="autoZero"/>
        <c:crossBetween val="midCat"/>
        <c:majorUnit val="200"/>
      </c:valAx>
      <c:valAx>
        <c:axId val="83788544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6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774080"/>
        <c:crosses val="autoZero"/>
        <c:crossBetween val="midCat"/>
        <c:majorUnit val="1"/>
      </c:valAx>
      <c:valAx>
        <c:axId val="8379046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3792640"/>
        <c:crosses val="max"/>
        <c:crossBetween val="midCat"/>
      </c:valAx>
      <c:valAx>
        <c:axId val="8379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7904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'100008G6'!$N$28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116.2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'100008G6'!$N$30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'100008G6'!$Q$29:$Q$30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'100008G6'!$N$32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'100008G6'!$Q$31:$Q$32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'100008G6'!$N$34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'100008G6'!$Q$33:$Q$34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'100008G6'!$R$33:$R$34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'100008G6'!$N$36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'100008G6'!$Q$35:$Q$36</c:f>
              <c:strCache>
                <c:ptCount val="2"/>
                <c:pt idx="0">
                  <c:v>N/A</c:v>
                </c:pt>
                <c:pt idx="1">
                  <c:v>1320</c:v>
                </c:pt>
              </c:strCache>
            </c:strRef>
          </c:xVal>
          <c:yVal>
            <c:numRef>
              <c:f>'100008G6'!$R$35:$R$36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'100008G6'!$N$38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'100008G6'!$Q$37:$Q$38</c:f>
              <c:numCache>
                <c:formatCode>0</c:formatCode>
                <c:ptCount val="2"/>
                <c:pt idx="0">
                  <c:v>246.13563660430086</c:v>
                </c:pt>
                <c:pt idx="1">
                  <c:v>1000</c:v>
                </c:pt>
              </c:numCache>
            </c:numRef>
          </c:xVal>
          <c:yVal>
            <c:numRef>
              <c:f>'100008G6'!$R$37:$R$38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62.570742161843029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18208"/>
        <c:axId val="8392448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'100008G6'!$P$36</c:f>
              <c:numCache>
                <c:formatCode>0.0</c:formatCode>
                <c:ptCount val="1"/>
                <c:pt idx="0">
                  <c:v>2.4644400994446656</c:v>
                </c:pt>
              </c:numCache>
            </c:numRef>
          </c:xVal>
          <c:yVal>
            <c:numRef>
              <c:f>'100008G6'!$P$22</c:f>
              <c:numCache>
                <c:formatCode>0.00</c:formatCode>
                <c:ptCount val="1"/>
                <c:pt idx="0">
                  <c:v>31.700644474102159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28576"/>
        <c:axId val="83926400"/>
      </c:scatterChart>
      <c:valAx>
        <c:axId val="8391820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924480"/>
        <c:crossesAt val="0"/>
        <c:crossBetween val="midCat"/>
        <c:majorUnit val="200"/>
        <c:minorUnit val="100"/>
      </c:valAx>
      <c:valAx>
        <c:axId val="83924480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918208"/>
        <c:crosses val="autoZero"/>
        <c:crossBetween val="midCat"/>
        <c:majorUnit val="20"/>
        <c:minorUnit val="1"/>
      </c:valAx>
      <c:valAx>
        <c:axId val="8392640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3928576"/>
        <c:crosses val="max"/>
        <c:crossBetween val="midCat"/>
        <c:majorUnit val="5"/>
      </c:valAx>
      <c:valAx>
        <c:axId val="8392857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839264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'100008G6'!$N$37</c:f>
              <c:strCache>
                <c:ptCount val="1"/>
                <c:pt idx="0">
                  <c:v>8 / 120</c:v>
                </c:pt>
              </c:strCache>
            </c:strRef>
          </c:tx>
          <c:marker>
            <c:symbol val="none"/>
          </c:marker>
          <c:xVal>
            <c:numRef>
              <c:f>'100008G6'!$O$37:$O$38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'100008G6'!$P$37:$P$38</c:f>
              <c:numCache>
                <c:formatCode>0.0</c:formatCode>
                <c:ptCount val="2"/>
                <c:pt idx="0">
                  <c:v>0</c:v>
                </c:pt>
                <c:pt idx="1">
                  <c:v>2.1824000753368678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'100008G6'!$N$35</c:f>
              <c:strCache>
                <c:ptCount val="1"/>
                <c:pt idx="0">
                  <c:v>6 / 90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'100008G6'!$O$35:$O$36</c:f>
              <c:numCache>
                <c:formatCode>0</c:formatCode>
                <c:ptCount val="2"/>
                <c:pt idx="0">
                  <c:v>0</c:v>
                </c:pt>
                <c:pt idx="1">
                  <c:v>1320</c:v>
                </c:pt>
              </c:numCache>
            </c:numRef>
          </c:xVal>
          <c:yVal>
            <c:numRef>
              <c:f>'100008G6'!$P$35:$P$36</c:f>
              <c:numCache>
                <c:formatCode>0.0</c:formatCode>
                <c:ptCount val="2"/>
                <c:pt idx="0">
                  <c:v>0</c:v>
                </c:pt>
                <c:pt idx="1">
                  <c:v>2.4644400994446656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'100008G6'!$N$33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'100008G6'!$O$33:$O$34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'100008G6'!$P$33:$P$34</c:f>
              <c:numCache>
                <c:formatCode>0.0</c:formatCode>
                <c:ptCount val="2"/>
                <c:pt idx="0">
                  <c:v>0</c:v>
                </c:pt>
                <c:pt idx="1">
                  <c:v>2.1722401054716154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'100008G6'!$N$31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'100008G6'!$O$31:$O$32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'100008G6'!$P$31:$P$32</c:f>
              <c:numCache>
                <c:formatCode>0.0</c:formatCode>
                <c:ptCount val="2"/>
                <c:pt idx="0">
                  <c:v>0</c:v>
                </c:pt>
                <c:pt idx="1">
                  <c:v>1.730680105471615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'100008G6'!$N$29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'100008G6'!$O$29:$O$30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'100008G6'!$P$29:$P$30</c:f>
              <c:numCache>
                <c:formatCode>0.0</c:formatCode>
                <c:ptCount val="2"/>
                <c:pt idx="0">
                  <c:v>0</c:v>
                </c:pt>
                <c:pt idx="1">
                  <c:v>1.509900105471615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'100008G6'!$N$27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'100008G6'!$O$27:$O$28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'100008G6'!$P$27:$P$28</c:f>
              <c:numCache>
                <c:formatCode>0.0</c:formatCode>
                <c:ptCount val="2"/>
                <c:pt idx="0">
                  <c:v>0</c:v>
                </c:pt>
                <c:pt idx="1">
                  <c:v>1.289120105471615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87456"/>
        <c:axId val="8398963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'100008G6'!$O$23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'100008G6'!$P$23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10112"/>
        <c:axId val="83991552"/>
      </c:scatterChart>
      <c:valAx>
        <c:axId val="83987456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989632"/>
        <c:crossesAt val="0"/>
        <c:crossBetween val="midCat"/>
        <c:majorUnit val="200"/>
        <c:minorUnit val="100"/>
      </c:valAx>
      <c:valAx>
        <c:axId val="839896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3987456"/>
        <c:crosses val="autoZero"/>
        <c:crossBetween val="midCat"/>
        <c:majorUnit val="1"/>
        <c:minorUnit val="1"/>
      </c:valAx>
      <c:valAx>
        <c:axId val="83991552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4010112"/>
        <c:crosses val="max"/>
        <c:crossBetween val="midCat"/>
        <c:majorUnit val="1"/>
      </c:valAx>
      <c:valAx>
        <c:axId val="84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9915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'100011G1'!$O$1:$O$2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'100011G1'!$P$1:$P$2</c:f>
              <c:numCache>
                <c:formatCode>General</c:formatCode>
                <c:ptCount val="2"/>
                <c:pt idx="0">
                  <c:v>0</c:v>
                </c:pt>
                <c:pt idx="1">
                  <c:v>155.4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'100011G1'!$O$3:$O$5</c:f>
              <c:numCache>
                <c:formatCode>General</c:formatCode>
                <c:ptCount val="3"/>
                <c:pt idx="0">
                  <c:v>27.014360765276592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'100011G1'!$P$3:$P$5</c:f>
              <c:numCache>
                <c:formatCode>General</c:formatCode>
                <c:ptCount val="3"/>
                <c:pt idx="0">
                  <c:v>0</c:v>
                </c:pt>
                <c:pt idx="1">
                  <c:v>108.0014059550543</c:v>
                </c:pt>
                <c:pt idx="2">
                  <c:v>152.76647190961856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'100011G1'!$O$7:$O$8</c:f>
              <c:numCache>
                <c:formatCode>General</c:formatCode>
                <c:ptCount val="2"/>
                <c:pt idx="0">
                  <c:v>23.725478291724812</c:v>
                </c:pt>
                <c:pt idx="1">
                  <c:v>1400</c:v>
                </c:pt>
              </c:numCache>
            </c:numRef>
          </c:xVal>
          <c:yVal>
            <c:numRef>
              <c:f>'100011G1'!$P$7:$P$8</c:f>
              <c:numCache>
                <c:formatCode>General</c:formatCode>
                <c:ptCount val="2"/>
                <c:pt idx="0">
                  <c:v>0</c:v>
                </c:pt>
                <c:pt idx="1">
                  <c:v>152.76647190961856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'100011G1'!$O$6</c:f>
              <c:numCache>
                <c:formatCode>0</c:formatCode>
                <c:ptCount val="1"/>
                <c:pt idx="0">
                  <c:v>618</c:v>
                </c:pt>
              </c:numCache>
            </c:numRef>
          </c:xVal>
          <c:yVal>
            <c:numRef>
              <c:f>'100011G1'!$P$6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58720"/>
        <c:axId val="8057728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'100011G1'!$O$9:$O$10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'100011G1'!$P$9:$P$10</c:f>
              <c:numCache>
                <c:formatCode>General</c:formatCode>
                <c:ptCount val="2"/>
                <c:pt idx="0">
                  <c:v>0</c:v>
                </c:pt>
                <c:pt idx="1">
                  <c:v>34.183206147169926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79200"/>
        <c:axId val="80585088"/>
      </c:scatterChart>
      <c:valAx>
        <c:axId val="8055872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77280"/>
        <c:crossesAt val="0"/>
        <c:crossBetween val="midCat"/>
        <c:majorUnit val="200"/>
      </c:valAx>
      <c:valAx>
        <c:axId val="8057728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58720"/>
        <c:crosses val="autoZero"/>
        <c:crossBetween val="midCat"/>
        <c:majorUnit val="20"/>
        <c:minorUnit val="10"/>
      </c:valAx>
      <c:valAx>
        <c:axId val="8057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585088"/>
        <c:crosses val="autoZero"/>
        <c:crossBetween val="midCat"/>
      </c:valAx>
      <c:valAx>
        <c:axId val="80585088"/>
        <c:scaling>
          <c:orientation val="minMax"/>
          <c:max val="42.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79200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3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'100011G1'!$O$41</c:f>
              <c:numCache>
                <c:formatCode>0</c:formatCode>
                <c:ptCount val="1"/>
                <c:pt idx="0">
                  <c:v>618</c:v>
                </c:pt>
              </c:numCache>
            </c:numRef>
          </c:xVal>
          <c:yVal>
            <c:numRef>
              <c:f>'100011G1'!$P$42</c:f>
              <c:numCache>
                <c:formatCode>0.00</c:formatCode>
                <c:ptCount val="1"/>
                <c:pt idx="0">
                  <c:v>2.525437592759773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2.8377414271815531</c:v>
              </c:pt>
              <c:pt idx="1">
                <c:v>4.0337625372116523</c:v>
              </c:pt>
              <c:pt idx="2">
                <c:v>5.5715039643932034</c:v>
              </c:pt>
              <c:pt idx="3">
                <c:v>7.4509657087262147</c:v>
              </c:pt>
              <c:pt idx="4">
                <c:v>9.6721477702106817</c:v>
              </c:pt>
              <c:pt idx="5">
                <c:v>12.2350501488466</c:v>
              </c:pt>
              <c:pt idx="6">
                <c:v>15.13967284463398</c:v>
              </c:pt>
              <c:pt idx="7">
                <c:v>18.38601585757279</c:v>
              </c:pt>
              <c:pt idx="8">
                <c:v>21.97407918766309</c:v>
              </c:pt>
              <c:pt idx="9">
                <c:v>25.903862834904789</c:v>
              </c:pt>
              <c:pt idx="10">
                <c:v>30.175366799298221</c:v>
              </c:pt>
              <c:pt idx="11">
                <c:v>34.788591080842721</c:v>
              </c:pt>
              <c:pt idx="12">
                <c:v>39.743535679539143</c:v>
              </c:pt>
              <c:pt idx="13">
                <c:v>45.04020059538599</c:v>
              </c:pt>
              <c:pt idx="14">
                <c:v>50.678585828385764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1.513019632890217</c:v>
              </c:pt>
              <c:pt idx="1">
                <c:v>1.6787015695826171</c:v>
              </c:pt>
              <c:pt idx="2">
                <c:v>1.8917212024728121</c:v>
              </c:pt>
              <c:pt idx="3">
                <c:v>2.1520785315608459</c:v>
              </c:pt>
              <c:pt idx="4">
                <c:v>2.45977355684674</c:v>
              </c:pt>
              <c:pt idx="5">
                <c:v>2.8148062783304342</c:v>
              </c:pt>
              <c:pt idx="6">
                <c:v>3.2171766960119612</c:v>
              </c:pt>
              <c:pt idx="7">
                <c:v>3.6668848098913012</c:v>
              </c:pt>
              <c:pt idx="8">
                <c:v>4.163930619968407</c:v>
              </c:pt>
              <c:pt idx="9">
                <c:v>4.708314126243474</c:v>
              </c:pt>
              <c:pt idx="10">
                <c:v>5.3000353287162447</c:v>
              </c:pt>
              <c:pt idx="11">
                <c:v>5.9390942273869456</c:v>
              </c:pt>
              <c:pt idx="12">
                <c:v>6.625490822255367</c:v>
              </c:pt>
              <c:pt idx="13">
                <c:v>7.3592251133217514</c:v>
              </c:pt>
              <c:pt idx="14">
                <c:v>8.1402971005857871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2.217404330229837</c:v>
              </c:pt>
              <c:pt idx="1">
                <c:v>2.9309410315196982</c:v>
              </c:pt>
              <c:pt idx="2">
                <c:v>3.8483453617495469</c:v>
              </c:pt>
              <c:pt idx="3">
                <c:v>4.9696173209193484</c:v>
              </c:pt>
              <c:pt idx="4">
                <c:v>6.2947569090291076</c:v>
              </c:pt>
              <c:pt idx="5">
                <c:v>7.8237641260788386</c:v>
              </c:pt>
              <c:pt idx="6">
                <c:v>9.5566389720685567</c:v>
              </c:pt>
              <c:pt idx="7">
                <c:v>11.493381446998169</c:v>
              </c:pt>
              <c:pt idx="8">
                <c:v>13.63399155086781</c:v>
              </c:pt>
              <c:pt idx="9">
                <c:v>15.9784692836774</c:v>
              </c:pt>
              <c:pt idx="10">
                <c:v>18.526814645426931</c:v>
              </c:pt>
              <c:pt idx="11">
                <c:v>21.279027636116449</c:v>
              </c:pt>
              <c:pt idx="12">
                <c:v>24.235108255745889</c:v>
              </c:pt>
              <c:pt idx="13">
                <c:v>27.39505650431521</c:v>
              </c:pt>
              <c:pt idx="14">
                <c:v>30.758872381824759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1.456551457264238</c:v>
              </c:pt>
              <c:pt idx="1">
                <c:v>1.5783137018031079</c:v>
              </c:pt>
              <c:pt idx="2">
                <c:v>1.7348651590673501</c:v>
              </c:pt>
              <c:pt idx="3">
                <c:v>1.9262058290570001</c:v>
              </c:pt>
              <c:pt idx="4">
                <c:v>2.1523357117720101</c:v>
              </c:pt>
              <c:pt idx="5">
                <c:v>2.4132548072124198</c:v>
              </c:pt>
              <c:pt idx="6">
                <c:v>2.7089631153782161</c:v>
              </c:pt>
              <c:pt idx="7">
                <c:v>3.0394606362693981</c:v>
              </c:pt>
              <c:pt idx="8">
                <c:v>3.40474736988598</c:v>
              </c:pt>
              <c:pt idx="9">
                <c:v>3.804823316227941</c:v>
              </c:pt>
              <c:pt idx="10">
                <c:v>4.2396884752952904</c:v>
              </c:pt>
              <c:pt idx="11">
                <c:v>4.7093428470880303</c:v>
              </c:pt>
              <c:pt idx="12">
                <c:v>5.2137864316061568</c:v>
              </c:pt>
              <c:pt idx="13">
                <c:v>5.7530192288496709</c:v>
              </c:pt>
              <c:pt idx="14">
                <c:v>6.3270412388185289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1.8611142288238001</c:v>
              </c:pt>
              <c:pt idx="1">
                <c:v>2.2975364067978652</c:v>
              </c:pt>
              <c:pt idx="2">
                <c:v>2.858650635621637</c:v>
              </c:pt>
              <c:pt idx="3">
                <c:v>3.5444569152951959</c:v>
              </c:pt>
              <c:pt idx="4">
                <c:v>4.3549552458183856</c:v>
              </c:pt>
              <c:pt idx="5">
                <c:v>5.2901456271914364</c:v>
              </c:pt>
              <c:pt idx="6">
                <c:v>6.3500280594141927</c:v>
              </c:pt>
              <c:pt idx="7">
                <c:v>7.5346025424866561</c:v>
              </c:pt>
              <c:pt idx="8">
                <c:v>8.8438690764088577</c:v>
              </c:pt>
              <c:pt idx="9">
                <c:v>10.27782766118075</c:v>
              </c:pt>
              <c:pt idx="10">
                <c:v>11.836478296802451</c:v>
              </c:pt>
              <c:pt idx="11">
                <c:v>13.519820983273799</c:v>
              </c:pt>
              <c:pt idx="12">
                <c:v>15.327855720594981</c:v>
              </c:pt>
              <c:pt idx="13">
                <c:v>17.260582508765491</c:v>
              </c:pt>
              <c:pt idx="14">
                <c:v>19.318001347786499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1.4013821817214831</c:v>
              </c:pt>
              <c:pt idx="1">
                <c:v>1.480234989727081</c:v>
              </c:pt>
              <c:pt idx="2">
                <c:v>1.5816171714485749</c:v>
              </c:pt>
              <c:pt idx="3">
                <c:v>1.70552872688593</c:v>
              </c:pt>
              <c:pt idx="4">
                <c:v>1.851969656039163</c:v>
              </c:pt>
              <c:pt idx="5">
                <c:v>2.0209399589083459</c:v>
              </c:pt>
              <c:pt idx="6">
                <c:v>2.2124396354933431</c:v>
              </c:pt>
              <c:pt idx="7">
                <c:v>2.4264686857942168</c:v>
              </c:pt>
              <c:pt idx="8">
                <c:v>2.6630271098110501</c:v>
              </c:pt>
              <c:pt idx="9">
                <c:v>2.9221149075437238</c:v>
              </c:pt>
              <c:pt idx="10">
                <c:v>3.2037320789923331</c:v>
              </c:pt>
              <c:pt idx="11">
                <c:v>3.5078786241567341</c:v>
              </c:pt>
              <c:pt idx="12">
                <c:v>3.834554543037068</c:v>
              </c:pt>
              <c:pt idx="13">
                <c:v>4.1837598356332864</c:v>
              </c:pt>
              <c:pt idx="14">
                <c:v>4.5554945019453754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1.611336437089204</c:v>
              </c:pt>
              <c:pt idx="1">
                <c:v>1.8534869992696961</c:v>
              </c:pt>
              <c:pt idx="2">
                <c:v>2.1648234363588972</c:v>
              </c:pt>
              <c:pt idx="3">
                <c:v>2.5453457483568211</c:v>
              </c:pt>
              <c:pt idx="4">
                <c:v>2.995053935263416</c:v>
              </c:pt>
              <c:pt idx="5">
                <c:v>3.5139479970787781</c:v>
              </c:pt>
              <c:pt idx="6">
                <c:v>4.1020279338028374</c:v>
              </c:pt>
              <c:pt idx="7">
                <c:v>4.7592937454356603</c:v>
              </c:pt>
              <c:pt idx="8">
                <c:v>5.4857454319770804</c:v>
              </c:pt>
              <c:pt idx="9">
                <c:v>6.2813829934272833</c:v>
              </c:pt>
              <c:pt idx="10">
                <c:v>7.1462064297861634</c:v>
              </c:pt>
              <c:pt idx="11">
                <c:v>8.0802157410537401</c:v>
              </c:pt>
              <c:pt idx="12">
                <c:v>9.0834109272300996</c:v>
              </c:pt>
              <c:pt idx="13">
                <c:v>10.155791988315141</c:v>
              </c:pt>
              <c:pt idx="14">
                <c:v>11.297358924308799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1.380884632094979</c:v>
              </c:pt>
              <c:pt idx="1">
                <c:v>1.443794901502202</c:v>
              </c:pt>
              <c:pt idx="2">
                <c:v>1.5246795335971901</c:v>
              </c:pt>
              <c:pt idx="3">
                <c:v>1.6235385283799539</c:v>
              </c:pt>
              <c:pt idx="4">
                <c:v>1.740371885850484</c:v>
              </c:pt>
              <c:pt idx="5">
                <c:v>1.8751796060088071</c:v>
              </c:pt>
              <c:pt idx="6">
                <c:v>2.0279616888549001</c:v>
              </c:pt>
              <c:pt idx="7">
                <c:v>2.1987181343887361</c:v>
              </c:pt>
              <c:pt idx="8">
                <c:v>2.3874489426104</c:v>
              </c:pt>
              <c:pt idx="9">
                <c:v>2.5941541135198132</c:v>
              </c:pt>
              <c:pt idx="10">
                <c:v>2.818833647117005</c:v>
              </c:pt>
              <c:pt idx="11">
                <c:v>3.0614875434019901</c:v>
              </c:pt>
              <c:pt idx="12">
                <c:v>3.3221158023747122</c:v>
              </c:pt>
              <c:pt idx="13">
                <c:v>3.6007184240352181</c:v>
              </c:pt>
              <c:pt idx="14">
                <c:v>3.8972954083835178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78720"/>
        <c:axId val="8168064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84736"/>
        <c:axId val="81682816"/>
      </c:scatterChart>
      <c:valAx>
        <c:axId val="8167872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680640"/>
        <c:crosses val="autoZero"/>
        <c:crossBetween val="midCat"/>
        <c:majorUnit val="200"/>
      </c:valAx>
      <c:valAx>
        <c:axId val="816806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678720"/>
        <c:crosses val="autoZero"/>
        <c:crossBetween val="midCat"/>
        <c:majorUnit val="1"/>
      </c:valAx>
      <c:valAx>
        <c:axId val="81682816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5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684736"/>
        <c:crosses val="max"/>
        <c:crossBetween val="midCat"/>
      </c:valAx>
      <c:valAx>
        <c:axId val="816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682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899" l="0.70000000000000095" r="0.70000000000000095" t="0.75000000000000899" header="0.3" footer="0.3"/>
    <c:pageSetup paperSize="9" orientation="landscape" horizontalDpi="-3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'100011G2'!$N$28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155.4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'100011G2'!$N$30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'100011G2'!$Q$29:$Q$30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'100011G2'!$N$32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'100011G2'!$Q$31:$Q$32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'100011G2'!$N$34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'100011G2'!$Q$33:$Q$34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'100011G2'!$N$36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'100011G2'!$Q$35:$Q$36</c:f>
              <c:strCache>
                <c:ptCount val="2"/>
                <c:pt idx="0">
                  <c:v>N/A</c:v>
                </c:pt>
                <c:pt idx="1">
                  <c:v>1267</c:v>
                </c:pt>
              </c:strCache>
            </c:strRef>
          </c:xVal>
          <c:yVal>
            <c:numRef>
              <c:f>'100011G2'!$R$35:$R$36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'100011G2'!$N$38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'100011G2'!$Q$37:$Q$38</c:f>
              <c:numCache>
                <c:formatCode>0</c:formatCode>
                <c:ptCount val="2"/>
                <c:pt idx="0">
                  <c:v>27.014360765276638</c:v>
                </c:pt>
                <c:pt idx="1">
                  <c:v>1000</c:v>
                </c:pt>
              </c:numCache>
            </c:numRef>
          </c:xVal>
          <c:yVal>
            <c:numRef>
              <c:f>'100011G2'!$R$37:$R$38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108.0014059550543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23328"/>
        <c:axId val="10232524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'100011G2'!$P$36</c:f>
              <c:numCache>
                <c:formatCode>0.0</c:formatCode>
                <c:ptCount val="1"/>
                <c:pt idx="0">
                  <c:v>2.5158931396670319</c:v>
                </c:pt>
              </c:numCache>
            </c:numRef>
          </c:xVal>
          <c:yVal>
            <c:numRef>
              <c:f>'100011G2'!$P$22</c:f>
              <c:numCache>
                <c:formatCode>0.00</c:formatCode>
                <c:ptCount val="1"/>
                <c:pt idx="0">
                  <c:v>42.267525965469545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37536"/>
        <c:axId val="102335616"/>
      </c:scatterChart>
      <c:valAx>
        <c:axId val="10232332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325248"/>
        <c:crossesAt val="0"/>
        <c:crossBetween val="midCat"/>
        <c:majorUnit val="200"/>
        <c:minorUnit val="100"/>
      </c:valAx>
      <c:valAx>
        <c:axId val="10232524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323328"/>
        <c:crosses val="autoZero"/>
        <c:crossBetween val="midCat"/>
        <c:majorUnit val="20"/>
        <c:minorUnit val="1"/>
      </c:valAx>
      <c:valAx>
        <c:axId val="102335616"/>
        <c:scaling>
          <c:orientation val="minMax"/>
          <c:max val="42.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337536"/>
        <c:crosses val="max"/>
        <c:crossBetween val="midCat"/>
        <c:majorUnit val="5"/>
      </c:valAx>
      <c:valAx>
        <c:axId val="10233753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23356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5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'100011G2'!$N$37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'100011G2'!$O$37:$O$38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'100011G2'!$P$37:$P$38</c:f>
              <c:numCache>
                <c:formatCode>0.0</c:formatCode>
                <c:ptCount val="2"/>
                <c:pt idx="0">
                  <c:v>0</c:v>
                </c:pt>
                <c:pt idx="1">
                  <c:v>2.1971314260529198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'100011G2'!$N$35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'100011G2'!$O$35:$O$36</c:f>
              <c:numCache>
                <c:formatCode>0</c:formatCode>
                <c:ptCount val="2"/>
                <c:pt idx="0">
                  <c:v>0</c:v>
                </c:pt>
                <c:pt idx="1">
                  <c:v>1266.6666666666667</c:v>
                </c:pt>
              </c:numCache>
            </c:numRef>
          </c:xVal>
          <c:yVal>
            <c:numRef>
              <c:f>'100011G2'!$P$35:$P$36</c:f>
              <c:numCache>
                <c:formatCode>0.0</c:formatCode>
                <c:ptCount val="2"/>
                <c:pt idx="0">
                  <c:v>0</c:v>
                </c:pt>
                <c:pt idx="1">
                  <c:v>2.5158931396670319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'100011G2'!$N$33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'100011G2'!$O$33:$O$34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'100011G2'!$P$33:$P$34</c:f>
              <c:numCache>
                <c:formatCode>0.0</c:formatCode>
                <c:ptCount val="2"/>
                <c:pt idx="0">
                  <c:v>0</c:v>
                </c:pt>
                <c:pt idx="1">
                  <c:v>2.4854639964740874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'100011G2'!$N$31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'100011G2'!$O$31:$O$32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'100011G2'!$P$31:$P$32</c:f>
              <c:numCache>
                <c:formatCode>0.0</c:formatCode>
                <c:ptCount val="2"/>
                <c:pt idx="0">
                  <c:v>0</c:v>
                </c:pt>
                <c:pt idx="1">
                  <c:v>2.1902039964740876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'100011G2'!$N$29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'100011G2'!$O$29:$O$30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'100011G2'!$P$29:$P$30</c:f>
              <c:numCache>
                <c:formatCode>0.0</c:formatCode>
                <c:ptCount val="2"/>
                <c:pt idx="0">
                  <c:v>0</c:v>
                </c:pt>
                <c:pt idx="1">
                  <c:v>1.8949439964740877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'100011G2'!$N$27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'100011G2'!$P$27:$P$28</c:f>
              <c:numCache>
                <c:formatCode>0.0</c:formatCode>
                <c:ptCount val="2"/>
                <c:pt idx="0">
                  <c:v>0</c:v>
                </c:pt>
                <c:pt idx="1">
                  <c:v>1.5996839964740874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27744"/>
        <c:axId val="10252966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'100011G2'!$P$23</c:f>
              <c:numCache>
                <c:formatCode>0.00</c:formatCode>
                <c:ptCount val="1"/>
                <c:pt idx="0">
                  <c:v>5.3640879999999997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33760"/>
        <c:axId val="102531840"/>
      </c:scatterChart>
      <c:valAx>
        <c:axId val="10252774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529664"/>
        <c:crossesAt val="0"/>
        <c:crossBetween val="midCat"/>
        <c:majorUnit val="200"/>
        <c:minorUnit val="100"/>
      </c:valAx>
      <c:valAx>
        <c:axId val="102529664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527744"/>
        <c:crosses val="autoZero"/>
        <c:crossBetween val="midCat"/>
        <c:majorUnit val="1"/>
        <c:minorUnit val="1"/>
      </c:valAx>
      <c:valAx>
        <c:axId val="102531840"/>
        <c:scaling>
          <c:orientation val="minMax"/>
          <c:max val="5.359999999999997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533760"/>
        <c:crosses val="max"/>
        <c:crossBetween val="midCat"/>
        <c:majorUnit val="1"/>
      </c:valAx>
      <c:valAx>
        <c:axId val="10253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531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'100011G3'!$O$1:$O$2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'100011G3'!$P$1:$P$2</c:f>
              <c:numCache>
                <c:formatCode>General</c:formatCode>
                <c:ptCount val="2"/>
                <c:pt idx="0">
                  <c:v>0</c:v>
                </c:pt>
                <c:pt idx="1">
                  <c:v>155.4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'100011G3'!$O$3:$O$5</c:f>
              <c:numCache>
                <c:formatCode>General</c:formatCode>
                <c:ptCount val="3"/>
                <c:pt idx="0">
                  <c:v>99.086432837348752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'100011G3'!$P$3:$P$5</c:f>
              <c:numCache>
                <c:formatCode>General</c:formatCode>
                <c:ptCount val="3"/>
                <c:pt idx="0">
                  <c:v>0</c:v>
                </c:pt>
                <c:pt idx="1">
                  <c:v>100.0014059550543</c:v>
                </c:pt>
                <c:pt idx="2">
                  <c:v>146.26647190961856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'100011G3'!$O$7:$O$8</c:f>
              <c:numCache>
                <c:formatCode>General</c:formatCode>
                <c:ptCount val="2"/>
                <c:pt idx="0">
                  <c:v>26.196535777994086</c:v>
                </c:pt>
                <c:pt idx="1">
                  <c:v>1400</c:v>
                </c:pt>
              </c:numCache>
            </c:numRef>
          </c:xVal>
          <c:yVal>
            <c:numRef>
              <c:f>'100011G3'!$P$7:$P$8</c:f>
              <c:numCache>
                <c:formatCode>General</c:formatCode>
                <c:ptCount val="2"/>
                <c:pt idx="0">
                  <c:v>0</c:v>
                </c:pt>
                <c:pt idx="1">
                  <c:v>152.49218452864267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'100011G3'!$O$6</c:f>
              <c:numCache>
                <c:formatCode>0</c:formatCode>
                <c:ptCount val="1"/>
                <c:pt idx="0">
                  <c:v>620</c:v>
                </c:pt>
              </c:numCache>
            </c:numRef>
          </c:xVal>
          <c:yVal>
            <c:numRef>
              <c:f>'100011G3'!$P$6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58208"/>
        <c:axId val="8456012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'100011G3'!$O$9:$O$10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'100011G3'!$P$9:$P$10</c:f>
              <c:numCache>
                <c:formatCode>General</c:formatCode>
                <c:ptCount val="2"/>
                <c:pt idx="0">
                  <c:v>0</c:v>
                </c:pt>
                <c:pt idx="1">
                  <c:v>34.183206147169926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66400"/>
        <c:axId val="84567936"/>
      </c:scatterChart>
      <c:valAx>
        <c:axId val="8455820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560128"/>
        <c:crossesAt val="0"/>
        <c:crossBetween val="midCat"/>
        <c:majorUnit val="200"/>
      </c:valAx>
      <c:valAx>
        <c:axId val="8456012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558208"/>
        <c:crosses val="autoZero"/>
        <c:crossBetween val="midCat"/>
        <c:majorUnit val="20"/>
        <c:minorUnit val="10"/>
      </c:valAx>
      <c:valAx>
        <c:axId val="8456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4567936"/>
        <c:crosses val="autoZero"/>
        <c:crossBetween val="midCat"/>
      </c:valAx>
      <c:valAx>
        <c:axId val="84567936"/>
        <c:scaling>
          <c:orientation val="minMax"/>
          <c:max val="42.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566400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'100005G2'!$N$28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64.400000000000006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'100005G2'!$N$30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'100005G2'!$Q$29:$Q$30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'100005G2'!$N$32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'100005G2'!$Q$31:$Q$32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'100005G2'!$Q$33:$Q$34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'100005G2'!$N$36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'100005G2'!$Q$35:$Q$36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'100005G2'!$N$38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'100005G2'!$Q$37:$Q$38</c:f>
              <c:strCache>
                <c:ptCount val="2"/>
                <c:pt idx="0">
                  <c:v>N/A</c:v>
                </c:pt>
                <c:pt idx="1">
                  <c:v>1229</c:v>
                </c:pt>
              </c:strCache>
            </c:strRef>
          </c:xVal>
          <c:yVal>
            <c:numRef>
              <c:f>'100005G2'!$R$37:$R$38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'100005G2'!$N$40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'100005G2'!$Q$39:$Q$40</c:f>
              <c:numCache>
                <c:formatCode>0</c:formatCode>
                <c:ptCount val="2"/>
                <c:pt idx="0">
                  <c:v>36.551224490153672</c:v>
                </c:pt>
                <c:pt idx="1">
                  <c:v>1000</c:v>
                </c:pt>
              </c:numCache>
            </c:numRef>
          </c:xVal>
          <c:yVal>
            <c:numRef>
              <c:f>'100005G2'!$R$39:$R$40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44.318643673452932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50144"/>
        <c:axId val="10215206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'100005G2'!$P$36</c:f>
              <c:numCache>
                <c:formatCode>0.0</c:formatCode>
                <c:ptCount val="1"/>
                <c:pt idx="0">
                  <c:v>1.7635281066469191</c:v>
                </c:pt>
              </c:numCache>
            </c:numRef>
          </c:xVal>
          <c:yVal>
            <c:numRef>
              <c:f>'100005G2'!$P$22</c:f>
              <c:numCache>
                <c:formatCode>0.00</c:formatCode>
                <c:ptCount val="1"/>
                <c:pt idx="0">
                  <c:v>18.492042609892927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60256"/>
        <c:axId val="102158336"/>
      </c:scatterChart>
      <c:valAx>
        <c:axId val="10215014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152064"/>
        <c:crossesAt val="0"/>
        <c:crossBetween val="midCat"/>
        <c:majorUnit val="200"/>
        <c:minorUnit val="100"/>
      </c:valAx>
      <c:valAx>
        <c:axId val="102152064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150144"/>
        <c:crosses val="autoZero"/>
        <c:crossBetween val="midCat"/>
        <c:majorUnit val="10"/>
        <c:minorUnit val="1"/>
      </c:valAx>
      <c:valAx>
        <c:axId val="102158336"/>
        <c:scaling>
          <c:orientation val="minMax"/>
          <c:max val="18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2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160256"/>
        <c:crosses val="max"/>
        <c:crossBetween val="midCat"/>
        <c:majorUnit val="2"/>
      </c:valAx>
      <c:valAx>
        <c:axId val="1021602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21583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796"/>
          <c:y val="0.29489814814814802"/>
          <c:w val="0.141946428571435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'100011G3'!$O$41</c:f>
              <c:numCache>
                <c:formatCode>0</c:formatCode>
                <c:ptCount val="1"/>
                <c:pt idx="0">
                  <c:v>620</c:v>
                </c:pt>
              </c:numCache>
            </c:numRef>
          </c:xVal>
          <c:yVal>
            <c:numRef>
              <c:f>'100011G3'!$P$42</c:f>
              <c:numCache>
                <c:formatCode>0.00</c:formatCode>
                <c:ptCount val="1"/>
                <c:pt idx="0">
                  <c:v>2.5320466944462043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2.8377414271815531</c:v>
              </c:pt>
              <c:pt idx="1">
                <c:v>4.0337625372116523</c:v>
              </c:pt>
              <c:pt idx="2">
                <c:v>5.5715039643932034</c:v>
              </c:pt>
              <c:pt idx="3">
                <c:v>7.4509657087262147</c:v>
              </c:pt>
              <c:pt idx="4">
                <c:v>9.6721477702106817</c:v>
              </c:pt>
              <c:pt idx="5">
                <c:v>12.2350501488466</c:v>
              </c:pt>
              <c:pt idx="6">
                <c:v>15.13967284463398</c:v>
              </c:pt>
              <c:pt idx="7">
                <c:v>18.38601585757279</c:v>
              </c:pt>
              <c:pt idx="8">
                <c:v>21.97407918766309</c:v>
              </c:pt>
              <c:pt idx="9">
                <c:v>25.903862834904789</c:v>
              </c:pt>
              <c:pt idx="10">
                <c:v>30.175366799298221</c:v>
              </c:pt>
              <c:pt idx="11">
                <c:v>34.788591080842721</c:v>
              </c:pt>
              <c:pt idx="12">
                <c:v>39.743535679539143</c:v>
              </c:pt>
              <c:pt idx="13">
                <c:v>45.04020059538599</c:v>
              </c:pt>
              <c:pt idx="14">
                <c:v>50.678585828385764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1.513019632890217</c:v>
              </c:pt>
              <c:pt idx="1">
                <c:v>1.6787015695826171</c:v>
              </c:pt>
              <c:pt idx="2">
                <c:v>1.8917212024728121</c:v>
              </c:pt>
              <c:pt idx="3">
                <c:v>2.1520785315608459</c:v>
              </c:pt>
              <c:pt idx="4">
                <c:v>2.45977355684674</c:v>
              </c:pt>
              <c:pt idx="5">
                <c:v>2.8148062783304342</c:v>
              </c:pt>
              <c:pt idx="6">
                <c:v>3.2171766960119612</c:v>
              </c:pt>
              <c:pt idx="7">
                <c:v>3.6668848098913012</c:v>
              </c:pt>
              <c:pt idx="8">
                <c:v>4.163930619968407</c:v>
              </c:pt>
              <c:pt idx="9">
                <c:v>4.708314126243474</c:v>
              </c:pt>
              <c:pt idx="10">
                <c:v>5.3000353287162447</c:v>
              </c:pt>
              <c:pt idx="11">
                <c:v>5.9390942273869456</c:v>
              </c:pt>
              <c:pt idx="12">
                <c:v>6.625490822255367</c:v>
              </c:pt>
              <c:pt idx="13">
                <c:v>7.3592251133217514</c:v>
              </c:pt>
              <c:pt idx="14">
                <c:v>8.1402971005857871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2.217404330229837</c:v>
              </c:pt>
              <c:pt idx="1">
                <c:v>2.9309410315196982</c:v>
              </c:pt>
              <c:pt idx="2">
                <c:v>3.8483453617495469</c:v>
              </c:pt>
              <c:pt idx="3">
                <c:v>4.9696173209193484</c:v>
              </c:pt>
              <c:pt idx="4">
                <c:v>6.2947569090291076</c:v>
              </c:pt>
              <c:pt idx="5">
                <c:v>7.8237641260788386</c:v>
              </c:pt>
              <c:pt idx="6">
                <c:v>9.5566389720685567</c:v>
              </c:pt>
              <c:pt idx="7">
                <c:v>11.493381446998169</c:v>
              </c:pt>
              <c:pt idx="8">
                <c:v>13.63399155086781</c:v>
              </c:pt>
              <c:pt idx="9">
                <c:v>15.9784692836774</c:v>
              </c:pt>
              <c:pt idx="10">
                <c:v>18.526814645426931</c:v>
              </c:pt>
              <c:pt idx="11">
                <c:v>21.279027636116449</c:v>
              </c:pt>
              <c:pt idx="12">
                <c:v>24.235108255745889</c:v>
              </c:pt>
              <c:pt idx="13">
                <c:v>27.39505650431521</c:v>
              </c:pt>
              <c:pt idx="14">
                <c:v>30.758872381824759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1.456551457264238</c:v>
              </c:pt>
              <c:pt idx="1">
                <c:v>1.5783137018031079</c:v>
              </c:pt>
              <c:pt idx="2">
                <c:v>1.7348651590673501</c:v>
              </c:pt>
              <c:pt idx="3">
                <c:v>1.9262058290570001</c:v>
              </c:pt>
              <c:pt idx="4">
                <c:v>2.1523357117720101</c:v>
              </c:pt>
              <c:pt idx="5">
                <c:v>2.4132548072124198</c:v>
              </c:pt>
              <c:pt idx="6">
                <c:v>2.7089631153782161</c:v>
              </c:pt>
              <c:pt idx="7">
                <c:v>3.0394606362693981</c:v>
              </c:pt>
              <c:pt idx="8">
                <c:v>3.40474736988598</c:v>
              </c:pt>
              <c:pt idx="9">
                <c:v>3.804823316227941</c:v>
              </c:pt>
              <c:pt idx="10">
                <c:v>4.2396884752952904</c:v>
              </c:pt>
              <c:pt idx="11">
                <c:v>4.7093428470880303</c:v>
              </c:pt>
              <c:pt idx="12">
                <c:v>5.2137864316061568</c:v>
              </c:pt>
              <c:pt idx="13">
                <c:v>5.7530192288496709</c:v>
              </c:pt>
              <c:pt idx="14">
                <c:v>6.3270412388185289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1.8611142288238001</c:v>
              </c:pt>
              <c:pt idx="1">
                <c:v>2.2975364067978652</c:v>
              </c:pt>
              <c:pt idx="2">
                <c:v>2.858650635621637</c:v>
              </c:pt>
              <c:pt idx="3">
                <c:v>3.5444569152951959</c:v>
              </c:pt>
              <c:pt idx="4">
                <c:v>4.3549552458183856</c:v>
              </c:pt>
              <c:pt idx="5">
                <c:v>5.2901456271914364</c:v>
              </c:pt>
              <c:pt idx="6">
                <c:v>6.3500280594141927</c:v>
              </c:pt>
              <c:pt idx="7">
                <c:v>7.5346025424866561</c:v>
              </c:pt>
              <c:pt idx="8">
                <c:v>8.8438690764088577</c:v>
              </c:pt>
              <c:pt idx="9">
                <c:v>10.27782766118075</c:v>
              </c:pt>
              <c:pt idx="10">
                <c:v>11.836478296802451</c:v>
              </c:pt>
              <c:pt idx="11">
                <c:v>13.519820983273799</c:v>
              </c:pt>
              <c:pt idx="12">
                <c:v>15.327855720594981</c:v>
              </c:pt>
              <c:pt idx="13">
                <c:v>17.260582508765491</c:v>
              </c:pt>
              <c:pt idx="14">
                <c:v>19.318001347786499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1.4013821817214831</c:v>
              </c:pt>
              <c:pt idx="1">
                <c:v>1.480234989727081</c:v>
              </c:pt>
              <c:pt idx="2">
                <c:v>1.5816171714485749</c:v>
              </c:pt>
              <c:pt idx="3">
                <c:v>1.70552872688593</c:v>
              </c:pt>
              <c:pt idx="4">
                <c:v>1.851969656039163</c:v>
              </c:pt>
              <c:pt idx="5">
                <c:v>2.0209399589083459</c:v>
              </c:pt>
              <c:pt idx="6">
                <c:v>2.2124396354933431</c:v>
              </c:pt>
              <c:pt idx="7">
                <c:v>2.4264686857942168</c:v>
              </c:pt>
              <c:pt idx="8">
                <c:v>2.6630271098110501</c:v>
              </c:pt>
              <c:pt idx="9">
                <c:v>2.9221149075437238</c:v>
              </c:pt>
              <c:pt idx="10">
                <c:v>3.2037320789923331</c:v>
              </c:pt>
              <c:pt idx="11">
                <c:v>3.5078786241567341</c:v>
              </c:pt>
              <c:pt idx="12">
                <c:v>3.834554543037068</c:v>
              </c:pt>
              <c:pt idx="13">
                <c:v>4.1837598356332864</c:v>
              </c:pt>
              <c:pt idx="14">
                <c:v>4.5554945019453754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1.611336437089204</c:v>
              </c:pt>
              <c:pt idx="1">
                <c:v>1.8534869992696961</c:v>
              </c:pt>
              <c:pt idx="2">
                <c:v>2.1648234363588972</c:v>
              </c:pt>
              <c:pt idx="3">
                <c:v>2.5453457483568211</c:v>
              </c:pt>
              <c:pt idx="4">
                <c:v>2.995053935263416</c:v>
              </c:pt>
              <c:pt idx="5">
                <c:v>3.5139479970787781</c:v>
              </c:pt>
              <c:pt idx="6">
                <c:v>4.1020279338028374</c:v>
              </c:pt>
              <c:pt idx="7">
                <c:v>4.7592937454356603</c:v>
              </c:pt>
              <c:pt idx="8">
                <c:v>5.4857454319770804</c:v>
              </c:pt>
              <c:pt idx="9">
                <c:v>6.2813829934272833</c:v>
              </c:pt>
              <c:pt idx="10">
                <c:v>7.1462064297861634</c:v>
              </c:pt>
              <c:pt idx="11">
                <c:v>8.0802157410537401</c:v>
              </c:pt>
              <c:pt idx="12">
                <c:v>9.0834109272300996</c:v>
              </c:pt>
              <c:pt idx="13">
                <c:v>10.155791988315141</c:v>
              </c:pt>
              <c:pt idx="14">
                <c:v>11.297358924308799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1.380884632094979</c:v>
              </c:pt>
              <c:pt idx="1">
                <c:v>1.443794901502202</c:v>
              </c:pt>
              <c:pt idx="2">
                <c:v>1.5246795335971901</c:v>
              </c:pt>
              <c:pt idx="3">
                <c:v>1.6235385283799539</c:v>
              </c:pt>
              <c:pt idx="4">
                <c:v>1.740371885850484</c:v>
              </c:pt>
              <c:pt idx="5">
                <c:v>1.8751796060088071</c:v>
              </c:pt>
              <c:pt idx="6">
                <c:v>2.0279616888549001</c:v>
              </c:pt>
              <c:pt idx="7">
                <c:v>2.1987181343887361</c:v>
              </c:pt>
              <c:pt idx="8">
                <c:v>2.3874489426104</c:v>
              </c:pt>
              <c:pt idx="9">
                <c:v>2.5941541135198132</c:v>
              </c:pt>
              <c:pt idx="10">
                <c:v>2.818833647117005</c:v>
              </c:pt>
              <c:pt idx="11">
                <c:v>3.0614875434019901</c:v>
              </c:pt>
              <c:pt idx="12">
                <c:v>3.3221158023747122</c:v>
              </c:pt>
              <c:pt idx="13">
                <c:v>3.6007184240352181</c:v>
              </c:pt>
              <c:pt idx="14">
                <c:v>3.8972954083835178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37568"/>
        <c:axId val="8464384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60224"/>
        <c:axId val="84645760"/>
      </c:scatterChart>
      <c:valAx>
        <c:axId val="8463756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4643840"/>
        <c:crosses val="autoZero"/>
        <c:crossBetween val="midCat"/>
        <c:majorUnit val="200"/>
      </c:valAx>
      <c:valAx>
        <c:axId val="846438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4637568"/>
        <c:crosses val="autoZero"/>
        <c:crossBetween val="midCat"/>
        <c:majorUnit val="1"/>
      </c:valAx>
      <c:valAx>
        <c:axId val="8464576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4660224"/>
        <c:crosses val="max"/>
        <c:crossBetween val="midCat"/>
      </c:valAx>
      <c:valAx>
        <c:axId val="8466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4645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'100011G4'!$N$28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155.4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'100011G4'!$N$30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'100011G4'!$Q$29:$Q$30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'100011G4'!$N$32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'100011G4'!$Q$31:$Q$32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'100011G4'!$N$34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'100011G4'!$Q$33:$Q$34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'100011G4'!$N$36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'100011G4'!$Q$35:$Q$36</c:f>
              <c:strCache>
                <c:ptCount val="2"/>
                <c:pt idx="0">
                  <c:v>N/A</c:v>
                </c:pt>
                <c:pt idx="1">
                  <c:v>1267</c:v>
                </c:pt>
              </c:strCache>
            </c:strRef>
          </c:xVal>
          <c:yVal>
            <c:numRef>
              <c:f>'100011G4'!$R$35:$R$36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'100011G4'!$N$38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'100011G4'!$Q$37:$Q$38</c:f>
              <c:numCache>
                <c:formatCode>0</c:formatCode>
                <c:ptCount val="2"/>
                <c:pt idx="0">
                  <c:v>99.08643283734871</c:v>
                </c:pt>
                <c:pt idx="1">
                  <c:v>1000</c:v>
                </c:pt>
              </c:numCache>
            </c:numRef>
          </c:xVal>
          <c:yVal>
            <c:numRef>
              <c:f>'100011G4'!$R$37:$R$38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100.0014059550543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98304"/>
        <c:axId val="10290867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'100011G4'!$P$36</c:f>
              <c:numCache>
                <c:formatCode>0.0</c:formatCode>
                <c:ptCount val="1"/>
                <c:pt idx="0">
                  <c:v>2.5158931396670319</c:v>
                </c:pt>
              </c:numCache>
            </c:numRef>
          </c:xVal>
          <c:yVal>
            <c:numRef>
              <c:f>'100011G4'!$P$22</c:f>
              <c:numCache>
                <c:formatCode>0.00</c:formatCode>
                <c:ptCount val="1"/>
                <c:pt idx="0">
                  <c:v>42.267525965469545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16864"/>
        <c:axId val="102910592"/>
      </c:scatterChart>
      <c:valAx>
        <c:axId val="10289830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908672"/>
        <c:crossesAt val="0"/>
        <c:crossBetween val="midCat"/>
        <c:majorUnit val="200"/>
        <c:minorUnit val="100"/>
      </c:valAx>
      <c:valAx>
        <c:axId val="102908672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898304"/>
        <c:crosses val="autoZero"/>
        <c:crossBetween val="midCat"/>
        <c:majorUnit val="20"/>
        <c:minorUnit val="1"/>
      </c:valAx>
      <c:valAx>
        <c:axId val="102910592"/>
        <c:scaling>
          <c:orientation val="minMax"/>
          <c:max val="42.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916864"/>
        <c:crosses val="max"/>
        <c:crossBetween val="midCat"/>
        <c:majorUnit val="5"/>
      </c:valAx>
      <c:valAx>
        <c:axId val="10291686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29105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'100011G4'!$N$37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'100011G4'!$O$37:$O$38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'100011G4'!$P$37:$P$38</c:f>
              <c:numCache>
                <c:formatCode>0.0</c:formatCode>
                <c:ptCount val="2"/>
                <c:pt idx="0">
                  <c:v>0</c:v>
                </c:pt>
                <c:pt idx="1">
                  <c:v>2.1971314260529198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'100011G4'!$N$35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'100011G4'!$O$35:$O$36</c:f>
              <c:numCache>
                <c:formatCode>0</c:formatCode>
                <c:ptCount val="2"/>
                <c:pt idx="0">
                  <c:v>0</c:v>
                </c:pt>
                <c:pt idx="1">
                  <c:v>1266.6666666666667</c:v>
                </c:pt>
              </c:numCache>
            </c:numRef>
          </c:xVal>
          <c:yVal>
            <c:numRef>
              <c:f>'100011G4'!$P$35:$P$36</c:f>
              <c:numCache>
                <c:formatCode>0.0</c:formatCode>
                <c:ptCount val="2"/>
                <c:pt idx="0">
                  <c:v>0</c:v>
                </c:pt>
                <c:pt idx="1">
                  <c:v>2.5158931396670319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'100011G4'!$N$33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'100011G4'!$O$33:$O$34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'100011G4'!$P$33:$P$34</c:f>
              <c:numCache>
                <c:formatCode>0.0</c:formatCode>
                <c:ptCount val="2"/>
                <c:pt idx="0">
                  <c:v>0</c:v>
                </c:pt>
                <c:pt idx="1">
                  <c:v>2.4854639964740874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'100011G4'!$N$31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'100011G4'!$O$31:$O$32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'100011G4'!$P$31:$P$32</c:f>
              <c:numCache>
                <c:formatCode>0.0</c:formatCode>
                <c:ptCount val="2"/>
                <c:pt idx="0">
                  <c:v>0</c:v>
                </c:pt>
                <c:pt idx="1">
                  <c:v>2.1902039964740876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'100011G4'!$N$29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'100011G4'!$O$29:$O$30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'100011G4'!$P$29:$P$30</c:f>
              <c:numCache>
                <c:formatCode>0.0</c:formatCode>
                <c:ptCount val="2"/>
                <c:pt idx="0">
                  <c:v>0</c:v>
                </c:pt>
                <c:pt idx="1">
                  <c:v>1.8949439964740877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'100011G4'!$N$27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'100011G4'!$P$27:$P$28</c:f>
              <c:numCache>
                <c:formatCode>0.0</c:formatCode>
                <c:ptCount val="2"/>
                <c:pt idx="0">
                  <c:v>0</c:v>
                </c:pt>
                <c:pt idx="1">
                  <c:v>1.5996839964740874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75744"/>
        <c:axId val="10297792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'100011G4'!$P$23</c:f>
              <c:numCache>
                <c:formatCode>0.00</c:formatCode>
                <c:ptCount val="1"/>
                <c:pt idx="0">
                  <c:v>5.3640879999999997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86112"/>
        <c:axId val="102979840"/>
      </c:scatterChart>
      <c:valAx>
        <c:axId val="10297574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977920"/>
        <c:crossesAt val="0"/>
        <c:crossBetween val="midCat"/>
        <c:majorUnit val="200"/>
        <c:minorUnit val="100"/>
      </c:valAx>
      <c:valAx>
        <c:axId val="102977920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975744"/>
        <c:crosses val="autoZero"/>
        <c:crossBetween val="midCat"/>
        <c:majorUnit val="1"/>
        <c:minorUnit val="1"/>
      </c:valAx>
      <c:valAx>
        <c:axId val="102979840"/>
        <c:scaling>
          <c:orientation val="minMax"/>
          <c:max val="5.359999999999997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986112"/>
        <c:crosses val="max"/>
        <c:crossBetween val="midCat"/>
        <c:majorUnit val="1"/>
      </c:valAx>
      <c:valAx>
        <c:axId val="10298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979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'100011G5'!$O$1:$O$2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'100011G5'!$P$1:$P$2</c:f>
              <c:numCache>
                <c:formatCode>General</c:formatCode>
                <c:ptCount val="2"/>
                <c:pt idx="0">
                  <c:v>0</c:v>
                </c:pt>
                <c:pt idx="1">
                  <c:v>155.4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'100011G5'!$O$3:$O$5</c:f>
              <c:numCache>
                <c:formatCode>General</c:formatCode>
                <c:ptCount val="3"/>
                <c:pt idx="0">
                  <c:v>162.14949590041181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'100011G5'!$P$3:$P$5</c:f>
              <c:numCache>
                <c:formatCode>General</c:formatCode>
                <c:ptCount val="3"/>
                <c:pt idx="0">
                  <c:v>0</c:v>
                </c:pt>
                <c:pt idx="1">
                  <c:v>93.001405955054295</c:v>
                </c:pt>
                <c:pt idx="2">
                  <c:v>140.46647190961858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'100011G5'!$O$7:$O$8</c:f>
              <c:numCache>
                <c:formatCode>General</c:formatCode>
                <c:ptCount val="2"/>
                <c:pt idx="0">
                  <c:v>28.401479381126592</c:v>
                </c:pt>
                <c:pt idx="1">
                  <c:v>1400</c:v>
                </c:pt>
              </c:numCache>
            </c:numRef>
          </c:xVal>
          <c:yVal>
            <c:numRef>
              <c:f>'100011G5'!$P$7:$P$8</c:f>
              <c:numCache>
                <c:formatCode>General</c:formatCode>
                <c:ptCount val="2"/>
                <c:pt idx="0">
                  <c:v>0</c:v>
                </c:pt>
                <c:pt idx="1">
                  <c:v>152.24743578869496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'100011G5'!$O$6</c:f>
              <c:numCache>
                <c:formatCode>0</c:formatCode>
                <c:ptCount val="1"/>
                <c:pt idx="0">
                  <c:v>622</c:v>
                </c:pt>
              </c:numCache>
            </c:numRef>
          </c:xVal>
          <c:yVal>
            <c:numRef>
              <c:f>'100011G5'!$P$6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73024"/>
        <c:axId val="8428748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'100011G5'!$O$9:$O$10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'100011G5'!$P$9:$P$10</c:f>
              <c:numCache>
                <c:formatCode>General</c:formatCode>
                <c:ptCount val="2"/>
                <c:pt idx="0">
                  <c:v>0</c:v>
                </c:pt>
                <c:pt idx="1">
                  <c:v>34.183206147169926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89408"/>
        <c:axId val="84290944"/>
      </c:scatterChart>
      <c:valAx>
        <c:axId val="84273024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287488"/>
        <c:crossesAt val="0"/>
        <c:crossBetween val="midCat"/>
        <c:majorUnit val="200"/>
      </c:valAx>
      <c:valAx>
        <c:axId val="84287488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273024"/>
        <c:crosses val="autoZero"/>
        <c:crossBetween val="midCat"/>
        <c:majorUnit val="20"/>
        <c:minorUnit val="10"/>
      </c:valAx>
      <c:valAx>
        <c:axId val="8428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4290944"/>
        <c:crosses val="autoZero"/>
        <c:crossBetween val="midCat"/>
      </c:valAx>
      <c:valAx>
        <c:axId val="84290944"/>
        <c:scaling>
          <c:orientation val="minMax"/>
          <c:max val="42.3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4289408"/>
        <c:crosses val="max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111100036545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8"/>
          <c:order val="0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2.8377414271815531</c:v>
              </c:pt>
              <c:pt idx="1">
                <c:v>4.0337625372116523</c:v>
              </c:pt>
              <c:pt idx="2">
                <c:v>5.5715039643932034</c:v>
              </c:pt>
              <c:pt idx="3">
                <c:v>7.4509657087262147</c:v>
              </c:pt>
              <c:pt idx="4">
                <c:v>9.6721477702106817</c:v>
              </c:pt>
              <c:pt idx="5">
                <c:v>12.2350501488466</c:v>
              </c:pt>
              <c:pt idx="6">
                <c:v>15.13967284463398</c:v>
              </c:pt>
              <c:pt idx="7">
                <c:v>18.38601585757279</c:v>
              </c:pt>
              <c:pt idx="8">
                <c:v>21.97407918766309</c:v>
              </c:pt>
              <c:pt idx="9">
                <c:v>25.903862834904789</c:v>
              </c:pt>
              <c:pt idx="10">
                <c:v>30.175366799298221</c:v>
              </c:pt>
              <c:pt idx="11">
                <c:v>34.788591080842721</c:v>
              </c:pt>
              <c:pt idx="12">
                <c:v>39.743535679539143</c:v>
              </c:pt>
              <c:pt idx="13">
                <c:v>45.04020059538599</c:v>
              </c:pt>
              <c:pt idx="14">
                <c:v>50.678585828385764</c:v>
              </c:pt>
            </c:numLit>
          </c:yVal>
          <c:smooth val="1"/>
        </c:ser>
        <c:ser>
          <c:idx val="4"/>
          <c:order val="1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1.513019632890217</c:v>
              </c:pt>
              <c:pt idx="1">
                <c:v>1.6787015695826171</c:v>
              </c:pt>
              <c:pt idx="2">
                <c:v>1.8917212024728121</c:v>
              </c:pt>
              <c:pt idx="3">
                <c:v>2.1520785315608459</c:v>
              </c:pt>
              <c:pt idx="4">
                <c:v>2.45977355684674</c:v>
              </c:pt>
              <c:pt idx="5">
                <c:v>2.8148062783304342</c:v>
              </c:pt>
              <c:pt idx="6">
                <c:v>3.2171766960119612</c:v>
              </c:pt>
              <c:pt idx="7">
                <c:v>3.6668848098913012</c:v>
              </c:pt>
              <c:pt idx="8">
                <c:v>4.163930619968407</c:v>
              </c:pt>
              <c:pt idx="9">
                <c:v>4.708314126243474</c:v>
              </c:pt>
              <c:pt idx="10">
                <c:v>5.3000353287162447</c:v>
              </c:pt>
              <c:pt idx="11">
                <c:v>5.9390942273869456</c:v>
              </c:pt>
              <c:pt idx="12">
                <c:v>6.625490822255367</c:v>
              </c:pt>
              <c:pt idx="13">
                <c:v>7.3592251133217514</c:v>
              </c:pt>
              <c:pt idx="14">
                <c:v>8.1402971005857871</c:v>
              </c:pt>
            </c:numLit>
          </c:yVal>
          <c:smooth val="1"/>
        </c:ser>
        <c:ser>
          <c:idx val="7"/>
          <c:order val="2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2.217404330229837</c:v>
              </c:pt>
              <c:pt idx="1">
                <c:v>2.9309410315196982</c:v>
              </c:pt>
              <c:pt idx="2">
                <c:v>3.8483453617495469</c:v>
              </c:pt>
              <c:pt idx="3">
                <c:v>4.9696173209193484</c:v>
              </c:pt>
              <c:pt idx="4">
                <c:v>6.2947569090291076</c:v>
              </c:pt>
              <c:pt idx="5">
                <c:v>7.8237641260788386</c:v>
              </c:pt>
              <c:pt idx="6">
                <c:v>9.5566389720685567</c:v>
              </c:pt>
              <c:pt idx="7">
                <c:v>11.493381446998169</c:v>
              </c:pt>
              <c:pt idx="8">
                <c:v>13.63399155086781</c:v>
              </c:pt>
              <c:pt idx="9">
                <c:v>15.9784692836774</c:v>
              </c:pt>
              <c:pt idx="10">
                <c:v>18.526814645426931</c:v>
              </c:pt>
              <c:pt idx="11">
                <c:v>21.279027636116449</c:v>
              </c:pt>
              <c:pt idx="12">
                <c:v>24.235108255745889</c:v>
              </c:pt>
              <c:pt idx="13">
                <c:v>27.39505650431521</c:v>
              </c:pt>
              <c:pt idx="14">
                <c:v>30.758872381824759</c:v>
              </c:pt>
            </c:numLit>
          </c:yVal>
          <c:smooth val="1"/>
        </c:ser>
        <c:ser>
          <c:idx val="3"/>
          <c:order val="3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1.456551457264238</c:v>
              </c:pt>
              <c:pt idx="1">
                <c:v>1.5783137018031079</c:v>
              </c:pt>
              <c:pt idx="2">
                <c:v>1.7348651590673501</c:v>
              </c:pt>
              <c:pt idx="3">
                <c:v>1.9262058290570001</c:v>
              </c:pt>
              <c:pt idx="4">
                <c:v>2.1523357117720101</c:v>
              </c:pt>
              <c:pt idx="5">
                <c:v>2.4132548072124198</c:v>
              </c:pt>
              <c:pt idx="6">
                <c:v>2.7089631153782161</c:v>
              </c:pt>
              <c:pt idx="7">
                <c:v>3.0394606362693981</c:v>
              </c:pt>
              <c:pt idx="8">
                <c:v>3.40474736988598</c:v>
              </c:pt>
              <c:pt idx="9">
                <c:v>3.804823316227941</c:v>
              </c:pt>
              <c:pt idx="10">
                <c:v>4.2396884752952904</c:v>
              </c:pt>
              <c:pt idx="11">
                <c:v>4.7093428470880303</c:v>
              </c:pt>
              <c:pt idx="12">
                <c:v>5.2137864316061568</c:v>
              </c:pt>
              <c:pt idx="13">
                <c:v>5.7530192288496709</c:v>
              </c:pt>
              <c:pt idx="14">
                <c:v>6.3270412388185289</c:v>
              </c:pt>
            </c:numLit>
          </c:yVal>
          <c:smooth val="1"/>
        </c:ser>
        <c:ser>
          <c:idx val="6"/>
          <c:order val="4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1.8611142288238001</c:v>
              </c:pt>
              <c:pt idx="1">
                <c:v>2.2975364067978652</c:v>
              </c:pt>
              <c:pt idx="2">
                <c:v>2.858650635621637</c:v>
              </c:pt>
              <c:pt idx="3">
                <c:v>3.5444569152951959</c:v>
              </c:pt>
              <c:pt idx="4">
                <c:v>4.3549552458183856</c:v>
              </c:pt>
              <c:pt idx="5">
                <c:v>5.2901456271914364</c:v>
              </c:pt>
              <c:pt idx="6">
                <c:v>6.3500280594141927</c:v>
              </c:pt>
              <c:pt idx="7">
                <c:v>7.5346025424866561</c:v>
              </c:pt>
              <c:pt idx="8">
                <c:v>8.8438690764088577</c:v>
              </c:pt>
              <c:pt idx="9">
                <c:v>10.27782766118075</c:v>
              </c:pt>
              <c:pt idx="10">
                <c:v>11.836478296802451</c:v>
              </c:pt>
              <c:pt idx="11">
                <c:v>13.519820983273799</c:v>
              </c:pt>
              <c:pt idx="12">
                <c:v>15.327855720594981</c:v>
              </c:pt>
              <c:pt idx="13">
                <c:v>17.260582508765491</c:v>
              </c:pt>
              <c:pt idx="14">
                <c:v>19.318001347786499</c:v>
              </c:pt>
            </c:numLit>
          </c:yVal>
          <c:smooth val="1"/>
        </c:ser>
        <c:ser>
          <c:idx val="2"/>
          <c:order val="5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1.4013821817214831</c:v>
              </c:pt>
              <c:pt idx="1">
                <c:v>1.480234989727081</c:v>
              </c:pt>
              <c:pt idx="2">
                <c:v>1.5816171714485749</c:v>
              </c:pt>
              <c:pt idx="3">
                <c:v>1.70552872688593</c:v>
              </c:pt>
              <c:pt idx="4">
                <c:v>1.851969656039163</c:v>
              </c:pt>
              <c:pt idx="5">
                <c:v>2.0209399589083459</c:v>
              </c:pt>
              <c:pt idx="6">
                <c:v>2.2124396354933431</c:v>
              </c:pt>
              <c:pt idx="7">
                <c:v>2.4264686857942168</c:v>
              </c:pt>
              <c:pt idx="8">
                <c:v>2.6630271098110501</c:v>
              </c:pt>
              <c:pt idx="9">
                <c:v>2.9221149075437238</c:v>
              </c:pt>
              <c:pt idx="10">
                <c:v>3.2037320789923331</c:v>
              </c:pt>
              <c:pt idx="11">
                <c:v>3.5078786241567341</c:v>
              </c:pt>
              <c:pt idx="12">
                <c:v>3.834554543037068</c:v>
              </c:pt>
              <c:pt idx="13">
                <c:v>4.1837598356332864</c:v>
              </c:pt>
              <c:pt idx="14">
                <c:v>4.5554945019453754</c:v>
              </c:pt>
            </c:numLit>
          </c:yVal>
          <c:smooth val="1"/>
        </c:ser>
        <c:ser>
          <c:idx val="5"/>
          <c:order val="6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1.611336437089204</c:v>
              </c:pt>
              <c:pt idx="1">
                <c:v>1.8534869992696961</c:v>
              </c:pt>
              <c:pt idx="2">
                <c:v>2.1648234363588972</c:v>
              </c:pt>
              <c:pt idx="3">
                <c:v>2.5453457483568211</c:v>
              </c:pt>
              <c:pt idx="4">
                <c:v>2.995053935263416</c:v>
              </c:pt>
              <c:pt idx="5">
                <c:v>3.5139479970787781</c:v>
              </c:pt>
              <c:pt idx="6">
                <c:v>4.1020279338028374</c:v>
              </c:pt>
              <c:pt idx="7">
                <c:v>4.7592937454356603</c:v>
              </c:pt>
              <c:pt idx="8">
                <c:v>5.4857454319770804</c:v>
              </c:pt>
              <c:pt idx="9">
                <c:v>6.2813829934272833</c:v>
              </c:pt>
              <c:pt idx="10">
                <c:v>7.1462064297861634</c:v>
              </c:pt>
              <c:pt idx="11">
                <c:v>8.0802157410537401</c:v>
              </c:pt>
              <c:pt idx="12">
                <c:v>9.0834109272300996</c:v>
              </c:pt>
              <c:pt idx="13">
                <c:v>10.155791988315141</c:v>
              </c:pt>
              <c:pt idx="14">
                <c:v>11.297358924308799</c:v>
              </c:pt>
            </c:numLit>
          </c:yVal>
          <c:smooth val="1"/>
        </c:ser>
        <c:ser>
          <c:idx val="0"/>
          <c:order val="7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1.380884632094979</c:v>
              </c:pt>
              <c:pt idx="1">
                <c:v>1.443794901502202</c:v>
              </c:pt>
              <c:pt idx="2">
                <c:v>1.5246795335971901</c:v>
              </c:pt>
              <c:pt idx="3">
                <c:v>1.6235385283799539</c:v>
              </c:pt>
              <c:pt idx="4">
                <c:v>1.740371885850484</c:v>
              </c:pt>
              <c:pt idx="5">
                <c:v>1.8751796060088071</c:v>
              </c:pt>
              <c:pt idx="6">
                <c:v>2.0279616888549001</c:v>
              </c:pt>
              <c:pt idx="7">
                <c:v>2.1987181343887361</c:v>
              </c:pt>
              <c:pt idx="8">
                <c:v>2.3874489426104</c:v>
              </c:pt>
              <c:pt idx="9">
                <c:v>2.5941541135198132</c:v>
              </c:pt>
              <c:pt idx="10">
                <c:v>2.818833647117005</c:v>
              </c:pt>
              <c:pt idx="11">
                <c:v>3.0614875434019901</c:v>
              </c:pt>
              <c:pt idx="12">
                <c:v>3.3221158023747122</c:v>
              </c:pt>
              <c:pt idx="13">
                <c:v>3.6007184240352181</c:v>
              </c:pt>
              <c:pt idx="14">
                <c:v>3.8972954083835178</c:v>
              </c:pt>
            </c:numLit>
          </c:yVal>
          <c:smooth val="1"/>
        </c:ser>
        <c:ser>
          <c:idx val="1"/>
          <c:order val="9"/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'100011G5'!$O$41</c:f>
              <c:numCache>
                <c:formatCode>0</c:formatCode>
                <c:ptCount val="1"/>
                <c:pt idx="0">
                  <c:v>622</c:v>
                </c:pt>
              </c:numCache>
            </c:numRef>
          </c:xVal>
          <c:yVal>
            <c:numRef>
              <c:f>'100011G5'!$P$42</c:f>
              <c:numCache>
                <c:formatCode>0.00</c:formatCode>
                <c:ptCount val="1"/>
                <c:pt idx="0">
                  <c:v>2.5379590529399154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34240"/>
        <c:axId val="103052800"/>
      </c:scatterChart>
      <c:scatterChart>
        <c:scatterStyle val="smoothMarker"/>
        <c:varyColors val="0"/>
        <c:ser>
          <c:idx val="10"/>
          <c:order val="8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60992"/>
        <c:axId val="103054720"/>
      </c:scatterChart>
      <c:valAx>
        <c:axId val="103034240"/>
        <c:scaling>
          <c:orientation val="minMax"/>
          <c:max val="1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052800"/>
        <c:crosses val="autoZero"/>
        <c:crossBetween val="midCat"/>
        <c:majorUnit val="200"/>
      </c:valAx>
      <c:valAx>
        <c:axId val="103052800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2.3206751054852301E-2"/>
              <c:y val="0.595830368919605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034240"/>
        <c:crosses val="autoZero"/>
        <c:crossBetween val="midCat"/>
        <c:majorUnit val="1"/>
      </c:valAx>
      <c:valAx>
        <c:axId val="10305472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1761061593200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060992"/>
        <c:crosses val="max"/>
        <c:crossBetween val="midCat"/>
      </c:valAx>
      <c:valAx>
        <c:axId val="10306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054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'100011G6'!$N$28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155.4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'100011G6'!$N$30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'100011G6'!$Q$29:$Q$30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'100011G6'!$N$32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'100011G6'!$Q$31:$Q$32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'100011G6'!$N$34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'100011G6'!$Q$33:$Q$34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'100011G6'!$R$33:$R$34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'100011G6'!$N$36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'100011G6'!$Q$35:$Q$36</c:f>
              <c:strCache>
                <c:ptCount val="2"/>
                <c:pt idx="0">
                  <c:v>N/A</c:v>
                </c:pt>
                <c:pt idx="1">
                  <c:v>1267</c:v>
                </c:pt>
              </c:strCache>
            </c:strRef>
          </c:xVal>
          <c:yVal>
            <c:numRef>
              <c:f>'100011G6'!$R$35:$R$36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'100011G6'!$N$38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'100011G6'!$Q$37:$Q$38</c:f>
              <c:numCache>
                <c:formatCode>0</c:formatCode>
                <c:ptCount val="2"/>
                <c:pt idx="0">
                  <c:v>162.14949590041178</c:v>
                </c:pt>
                <c:pt idx="1">
                  <c:v>1000</c:v>
                </c:pt>
              </c:numCache>
            </c:numRef>
          </c:xVal>
          <c:yVal>
            <c:numRef>
              <c:f>'100011G6'!$R$37:$R$38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93.001405955054295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16192"/>
        <c:axId val="10341811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'100011G6'!$P$36</c:f>
              <c:numCache>
                <c:formatCode>0.0</c:formatCode>
                <c:ptCount val="1"/>
                <c:pt idx="0">
                  <c:v>2.5158931396670319</c:v>
                </c:pt>
              </c:numCache>
            </c:numRef>
          </c:xVal>
          <c:yVal>
            <c:numRef>
              <c:f>'100011G6'!$P$22</c:f>
              <c:numCache>
                <c:formatCode>0.00</c:formatCode>
                <c:ptCount val="1"/>
                <c:pt idx="0">
                  <c:v>42.267525965469545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26304"/>
        <c:axId val="103424384"/>
      </c:scatterChart>
      <c:valAx>
        <c:axId val="103416192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418112"/>
        <c:crossesAt val="0"/>
        <c:crossBetween val="midCat"/>
        <c:majorUnit val="200"/>
        <c:minorUnit val="100"/>
      </c:valAx>
      <c:valAx>
        <c:axId val="103418112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416192"/>
        <c:crosses val="autoZero"/>
        <c:crossBetween val="midCat"/>
        <c:majorUnit val="20"/>
        <c:minorUnit val="1"/>
      </c:valAx>
      <c:valAx>
        <c:axId val="103424384"/>
        <c:scaling>
          <c:orientation val="minMax"/>
          <c:max val="42.3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3426304"/>
        <c:crosses val="max"/>
        <c:crossBetween val="midCat"/>
        <c:majorUnit val="5"/>
      </c:valAx>
      <c:valAx>
        <c:axId val="103426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34243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'100011G6'!$N$37</c:f>
              <c:strCache>
                <c:ptCount val="1"/>
                <c:pt idx="0">
                  <c:v>5 / 75</c:v>
                </c:pt>
              </c:strCache>
            </c:strRef>
          </c:tx>
          <c:marker>
            <c:symbol val="none"/>
          </c:marker>
          <c:xVal>
            <c:numRef>
              <c:f>'100011G6'!$O$37:$O$38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'100011G6'!$P$37:$P$38</c:f>
              <c:numCache>
                <c:formatCode>0.0</c:formatCode>
                <c:ptCount val="2"/>
                <c:pt idx="0">
                  <c:v>0</c:v>
                </c:pt>
                <c:pt idx="1">
                  <c:v>2.1971314260529198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'100011G6'!$N$35</c:f>
              <c:strCache>
                <c:ptCount val="1"/>
                <c:pt idx="0">
                  <c:v>4 / 60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'100011G6'!$O$35:$O$36</c:f>
              <c:numCache>
                <c:formatCode>0</c:formatCode>
                <c:ptCount val="2"/>
                <c:pt idx="0">
                  <c:v>0</c:v>
                </c:pt>
                <c:pt idx="1">
                  <c:v>1266.6666666666667</c:v>
                </c:pt>
              </c:numCache>
            </c:numRef>
          </c:xVal>
          <c:yVal>
            <c:numRef>
              <c:f>'100011G6'!$P$35:$P$36</c:f>
              <c:numCache>
                <c:formatCode>0.0</c:formatCode>
                <c:ptCount val="2"/>
                <c:pt idx="0">
                  <c:v>0</c:v>
                </c:pt>
                <c:pt idx="1">
                  <c:v>2.5158931396670319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'100011G6'!$N$33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'100011G6'!$O$33:$O$34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'100011G6'!$P$33:$P$34</c:f>
              <c:numCache>
                <c:formatCode>0.0</c:formatCode>
                <c:ptCount val="2"/>
                <c:pt idx="0">
                  <c:v>0</c:v>
                </c:pt>
                <c:pt idx="1">
                  <c:v>2.4854639964740874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'100011G6'!$N$31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'100011G6'!$O$31:$O$32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'100011G6'!$P$31:$P$32</c:f>
              <c:numCache>
                <c:formatCode>0.0</c:formatCode>
                <c:ptCount val="2"/>
                <c:pt idx="0">
                  <c:v>0</c:v>
                </c:pt>
                <c:pt idx="1">
                  <c:v>2.1902039964740876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'100011G6'!$N$29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'100011G6'!$O$29:$O$30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'100011G6'!$P$29:$P$30</c:f>
              <c:numCache>
                <c:formatCode>0.0</c:formatCode>
                <c:ptCount val="2"/>
                <c:pt idx="0">
                  <c:v>0</c:v>
                </c:pt>
                <c:pt idx="1">
                  <c:v>1.8949439964740877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'100011G6'!$N$27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'100011G6'!$O$27:$O$28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'100011G6'!$P$27:$P$28</c:f>
              <c:numCache>
                <c:formatCode>0.0</c:formatCode>
                <c:ptCount val="2"/>
                <c:pt idx="0">
                  <c:v>0</c:v>
                </c:pt>
                <c:pt idx="1">
                  <c:v>1.5996839964740874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97728"/>
        <c:axId val="10349964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'100011G6'!$O$23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'100011G6'!$P$23</c:f>
              <c:numCache>
                <c:formatCode>0.00</c:formatCode>
                <c:ptCount val="1"/>
                <c:pt idx="0">
                  <c:v>5.3640879999999997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07840"/>
        <c:axId val="103505920"/>
      </c:scatterChart>
      <c:valAx>
        <c:axId val="10349772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499648"/>
        <c:crossesAt val="0"/>
        <c:crossBetween val="midCat"/>
        <c:majorUnit val="200"/>
        <c:minorUnit val="100"/>
      </c:valAx>
      <c:valAx>
        <c:axId val="1034996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497728"/>
        <c:crosses val="autoZero"/>
        <c:crossBetween val="midCat"/>
        <c:majorUnit val="1"/>
        <c:minorUnit val="1"/>
      </c:valAx>
      <c:valAx>
        <c:axId val="103505920"/>
        <c:scaling>
          <c:orientation val="minMax"/>
          <c:max val="5.359999999999997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3507840"/>
        <c:crosses val="max"/>
        <c:crossBetween val="midCat"/>
        <c:majorUnit val="1"/>
      </c:valAx>
      <c:valAx>
        <c:axId val="10350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5059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'200020G1'!$O$1:$O$2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'200020G1'!$P$1:$P$2</c:f>
              <c:numCache>
                <c:formatCode>General</c:formatCode>
                <c:ptCount val="2"/>
                <c:pt idx="0">
                  <c:v>0</c:v>
                </c:pt>
                <c:pt idx="1">
                  <c:v>202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'200020G1'!$O$3:$O$5</c:f>
              <c:numCache>
                <c:formatCode>General</c:formatCode>
                <c:ptCount val="3"/>
                <c:pt idx="0">
                  <c:v>27.193097453461064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'200020G1'!$P$3:$P$5</c:f>
              <c:numCache>
                <c:formatCode>General</c:formatCode>
                <c:ptCount val="3"/>
                <c:pt idx="0">
                  <c:v>0</c:v>
                </c:pt>
                <c:pt idx="1">
                  <c:v>146.00699431440088</c:v>
                </c:pt>
                <c:pt idx="2">
                  <c:v>197.18000640391693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'200020G1'!$O$7:$O$8</c:f>
              <c:numCache>
                <c:formatCode>General</c:formatCode>
                <c:ptCount val="2"/>
                <c:pt idx="0">
                  <c:v>16.015622940826916</c:v>
                </c:pt>
                <c:pt idx="1">
                  <c:v>1000</c:v>
                </c:pt>
              </c:numCache>
            </c:numRef>
          </c:xVal>
          <c:yVal>
            <c:numRef>
              <c:f>'200020G1'!$P$7:$P$8</c:f>
              <c:numCache>
                <c:formatCode>General</c:formatCode>
                <c:ptCount val="2"/>
                <c:pt idx="0">
                  <c:v>0</c:v>
                </c:pt>
                <c:pt idx="1">
                  <c:v>198.76484416595298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'200020G1'!$O$6</c:f>
              <c:numCache>
                <c:formatCode>0</c:formatCode>
                <c:ptCount val="1"/>
                <c:pt idx="0">
                  <c:v>342</c:v>
                </c:pt>
              </c:numCache>
            </c:numRef>
          </c:xVal>
          <c:yVal>
            <c:numRef>
              <c:f>'200020G1'!$P$6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20544"/>
        <c:axId val="10265139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'200020G1'!$O$9:$O$10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'200020G1'!$P$9:$P$10</c:f>
              <c:numCache>
                <c:formatCode>General</c:formatCode>
                <c:ptCount val="2"/>
                <c:pt idx="0">
                  <c:v>0</c:v>
                </c:pt>
                <c:pt idx="1">
                  <c:v>44.433768608290379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53312"/>
        <c:axId val="102655104"/>
      </c:scatterChart>
      <c:valAx>
        <c:axId val="102620544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651392"/>
        <c:crossesAt val="0"/>
        <c:crossBetween val="midCat"/>
        <c:majorUnit val="100"/>
      </c:valAx>
      <c:valAx>
        <c:axId val="102651392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620544"/>
        <c:crosses val="autoZero"/>
        <c:crossBetween val="midCat"/>
        <c:majorUnit val="20"/>
        <c:minorUnit val="10"/>
      </c:valAx>
      <c:valAx>
        <c:axId val="10265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655104"/>
        <c:crosses val="autoZero"/>
        <c:crossBetween val="midCat"/>
      </c:valAx>
      <c:valAx>
        <c:axId val="102655104"/>
        <c:scaling>
          <c:orientation val="minMax"/>
          <c:max val="58.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653312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3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'200020G1'!$O$41</c:f>
              <c:numCache>
                <c:formatCode>0</c:formatCode>
                <c:ptCount val="1"/>
                <c:pt idx="0">
                  <c:v>342</c:v>
                </c:pt>
              </c:numCache>
            </c:numRef>
          </c:xVal>
          <c:yVal>
            <c:numRef>
              <c:f>'200020G1'!$P$42</c:f>
              <c:numCache>
                <c:formatCode>0.00</c:formatCode>
                <c:ptCount val="1"/>
                <c:pt idx="0">
                  <c:v>2.3918723704100189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4.0958935039664617</c:v>
              </c:pt>
              <c:pt idx="1">
                <c:v>6.2704773403848524</c:v>
              </c:pt>
              <c:pt idx="2">
                <c:v>9.0663708443512814</c:v>
              </c:pt>
              <c:pt idx="3">
                <c:v>12.483574015865949</c:v>
              </c:pt>
              <c:pt idx="4">
                <c:v>16.522086854928489</c:v>
              </c:pt>
              <c:pt idx="5">
                <c:v>21.18190936153928</c:v>
              </c:pt>
              <c:pt idx="6">
                <c:v>26.463041535698089</c:v>
              </c:pt>
              <c:pt idx="7">
                <c:v>32.365483377405127</c:v>
              </c:pt>
              <c:pt idx="8">
                <c:v>38.889234886659999</c:v>
              </c:pt>
              <c:pt idx="9">
                <c:v>46.034296063462889</c:v>
              </c:pt>
              <c:pt idx="10">
                <c:v>53.80066690781419</c:v>
              </c:pt>
              <c:pt idx="11">
                <c:v>62.18834741971375</c:v>
              </c:pt>
              <c:pt idx="12">
                <c:v>71.197337599161344</c:v>
              </c:pt>
              <c:pt idx="13">
                <c:v>80.827637446157112</c:v>
              </c:pt>
              <c:pt idx="14">
                <c:v>91.079246960700814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1.6873084234367739</c:v>
              </c:pt>
              <c:pt idx="1">
                <c:v>1.9885483083320159</c:v>
              </c:pt>
              <c:pt idx="2">
                <c:v>2.3758567317687458</c:v>
              </c:pt>
              <c:pt idx="3">
                <c:v>2.8492336937470331</c:v>
              </c:pt>
              <c:pt idx="4">
                <c:v>3.4086791942667931</c:v>
              </c:pt>
              <c:pt idx="5">
                <c:v>4.0541932333280446</c:v>
              </c:pt>
              <c:pt idx="6">
                <c:v>4.7857758109308284</c:v>
              </c:pt>
              <c:pt idx="7">
                <c:v>5.6034269270750636</c:v>
              </c:pt>
              <c:pt idx="8">
                <c:v>6.5071465817608622</c:v>
              </c:pt>
              <c:pt idx="9">
                <c:v>7.4969347749881337</c:v>
              </c:pt>
              <c:pt idx="10">
                <c:v>8.5727915067569267</c:v>
              </c:pt>
              <c:pt idx="11">
                <c:v>9.734716777067181</c:v>
              </c:pt>
              <c:pt idx="12">
                <c:v>10.98271058591898</c:v>
              </c:pt>
              <c:pt idx="13">
                <c:v>12.316772933312251</c:v>
              </c:pt>
              <c:pt idx="14">
                <c:v>13.73690381924702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2.968007873145158</c:v>
              </c:pt>
              <c:pt idx="1">
                <c:v>4.2653473300358371</c:v>
              </c:pt>
              <c:pt idx="2">
                <c:v>5.9333552031809944</c:v>
              </c:pt>
              <c:pt idx="3">
                <c:v>7.9720314925806921</c:v>
              </c:pt>
              <c:pt idx="4">
                <c:v>10.381376198234751</c:v>
              </c:pt>
              <c:pt idx="5">
                <c:v>13.16138932014335</c:v>
              </c:pt>
              <c:pt idx="6">
                <c:v>16.312070858306431</c:v>
              </c:pt>
              <c:pt idx="7">
                <c:v>19.833420812723769</c:v>
              </c:pt>
              <c:pt idx="8">
                <c:v>23.725439183395739</c:v>
              </c:pt>
              <c:pt idx="9">
                <c:v>27.988125970322219</c:v>
              </c:pt>
              <c:pt idx="10">
                <c:v>32.62148117350317</c:v>
              </c:pt>
              <c:pt idx="11">
                <c:v>37.62550479293941</c:v>
              </c:pt>
              <c:pt idx="12">
                <c:v>43.000196828629228</c:v>
              </c:pt>
              <c:pt idx="13">
                <c:v>48.745557280573671</c:v>
              </c:pt>
              <c:pt idx="14">
                <c:v>54.861586148772297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1.584639013207721</c:v>
              </c:pt>
              <c:pt idx="1">
                <c:v>1.80602491236928</c:v>
              </c:pt>
              <c:pt idx="2">
                <c:v>2.0906639255769992</c:v>
              </c:pt>
              <c:pt idx="3">
                <c:v>2.4385560528308821</c:v>
              </c:pt>
              <c:pt idx="4">
                <c:v>2.8497012941309232</c:v>
              </c:pt>
              <c:pt idx="5">
                <c:v>3.3240996494771231</c:v>
              </c:pt>
              <c:pt idx="6">
                <c:v>3.8617511188694849</c:v>
              </c:pt>
              <c:pt idx="7">
                <c:v>4.4626557023080053</c:v>
              </c:pt>
              <c:pt idx="8">
                <c:v>5.1268133997926864</c:v>
              </c:pt>
              <c:pt idx="9">
                <c:v>5.8542242113235279</c:v>
              </c:pt>
              <c:pt idx="10">
                <c:v>6.6448881369005246</c:v>
              </c:pt>
              <c:pt idx="11">
                <c:v>7.4988051765236907</c:v>
              </c:pt>
              <c:pt idx="12">
                <c:v>8.415975330193012</c:v>
              </c:pt>
              <c:pt idx="13">
                <c:v>9.3963985979085027</c:v>
              </c:pt>
              <c:pt idx="14">
                <c:v>10.440074979670131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2.3202076887705441</c:v>
              </c:pt>
              <c:pt idx="1">
                <c:v>3.1137025578143231</c:v>
              </c:pt>
              <c:pt idx="2">
                <c:v>4.1339102465848354</c:v>
              </c:pt>
              <c:pt idx="3">
                <c:v>5.3808307550821803</c:v>
              </c:pt>
              <c:pt idx="4">
                <c:v>6.8544640833062846</c:v>
              </c:pt>
              <c:pt idx="5">
                <c:v>8.5548102312572247</c:v>
              </c:pt>
              <c:pt idx="6">
                <c:v>10.4818691989349</c:v>
              </c:pt>
              <c:pt idx="7">
                <c:v>12.63564098633938</c:v>
              </c:pt>
              <c:pt idx="8">
                <c:v>15.016125593470649</c:v>
              </c:pt>
              <c:pt idx="9">
                <c:v>17.623323020328691</c:v>
              </c:pt>
              <c:pt idx="10">
                <c:v>20.45723326691353</c:v>
              </c:pt>
              <c:pt idx="11">
                <c:v>23.51785633322519</c:v>
              </c:pt>
              <c:pt idx="12">
                <c:v>26.805192219263581</c:v>
              </c:pt>
              <c:pt idx="13">
                <c:v>30.319240925028812</c:v>
              </c:pt>
              <c:pt idx="14">
                <c:v>34.060002450520813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1.484331239493605</c:v>
              </c:pt>
              <c:pt idx="1">
                <c:v>1.6276999813219639</c:v>
              </c:pt>
              <c:pt idx="2">
                <c:v>1.81203122081557</c:v>
              </c:pt>
              <c:pt idx="3">
                <c:v>2.0373249579744441</c:v>
              </c:pt>
              <c:pt idx="4">
                <c:v>2.3035811927985201</c:v>
              </c:pt>
              <c:pt idx="5">
                <c:v>2.610799925287858</c:v>
              </c:pt>
              <c:pt idx="6">
                <c:v>2.9589811554424452</c:v>
              </c:pt>
              <c:pt idx="7">
                <c:v>3.3481248832622801</c:v>
              </c:pt>
              <c:pt idx="8">
                <c:v>3.7782311087473901</c:v>
              </c:pt>
              <c:pt idx="9">
                <c:v>4.2492998318977024</c:v>
              </c:pt>
              <c:pt idx="10">
                <c:v>4.76133105271325</c:v>
              </c:pt>
              <c:pt idx="11">
                <c:v>5.3143247711940642</c:v>
              </c:pt>
              <c:pt idx="12">
                <c:v>5.9082809873401434</c:v>
              </c:pt>
              <c:pt idx="13">
                <c:v>6.5431997011514333</c:v>
              </c:pt>
              <c:pt idx="14">
                <c:v>7.2190809126279776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1.8660662492530979</c:v>
              </c:pt>
              <c:pt idx="1">
                <c:v>2.3063399986721751</c:v>
              </c:pt>
              <c:pt idx="2">
                <c:v>2.8724062479252721</c:v>
              </c:pt>
              <c:pt idx="3">
                <c:v>3.5642649970124012</c:v>
              </c:pt>
              <c:pt idx="4">
                <c:v>4.3819162459335343</c:v>
              </c:pt>
              <c:pt idx="5">
                <c:v>5.3253599946886974</c:v>
              </c:pt>
              <c:pt idx="6">
                <c:v>6.3945962432778636</c:v>
              </c:pt>
              <c:pt idx="7">
                <c:v>7.5896249917010934</c:v>
              </c:pt>
              <c:pt idx="8">
                <c:v>8.9104462399584765</c:v>
              </c:pt>
              <c:pt idx="9">
                <c:v>10.357059988049571</c:v>
              </c:pt>
              <c:pt idx="10">
                <c:v>11.929466235974941</c:v>
              </c:pt>
              <c:pt idx="11">
                <c:v>13.6276649837341</c:v>
              </c:pt>
              <c:pt idx="12">
                <c:v>15.451656231327579</c:v>
              </c:pt>
              <c:pt idx="13">
                <c:v>17.40143997875462</c:v>
              </c:pt>
              <c:pt idx="14">
                <c:v>19.477016226016151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1.4470629674454341</c:v>
              </c:pt>
              <c:pt idx="1">
                <c:v>1.5614452754585499</c:v>
              </c:pt>
              <c:pt idx="2">
                <c:v>1.708508242903974</c:v>
              </c:pt>
              <c:pt idx="3">
                <c:v>1.8882518697817561</c:v>
              </c:pt>
              <c:pt idx="4">
                <c:v>2.1006761560918048</c:v>
              </c:pt>
              <c:pt idx="5">
                <c:v>2.3457811018341941</c:v>
              </c:pt>
              <c:pt idx="6">
                <c:v>2.6235667070089268</c:v>
              </c:pt>
              <c:pt idx="7">
                <c:v>2.9340329716159279</c:v>
              </c:pt>
              <c:pt idx="8">
                <c:v>3.2771798956552738</c:v>
              </c:pt>
              <c:pt idx="9">
                <c:v>3.6530074791269378</c:v>
              </c:pt>
              <c:pt idx="10">
                <c:v>4.0615157220308946</c:v>
              </c:pt>
              <c:pt idx="11">
                <c:v>4.5027046243672064</c:v>
              </c:pt>
              <c:pt idx="12">
                <c:v>4.9765741861358403</c:v>
              </c:pt>
              <c:pt idx="13">
                <c:v>5.4831244073367769</c:v>
              </c:pt>
              <c:pt idx="14">
                <c:v>6.0223552879700266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00160"/>
        <c:axId val="10270208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18464"/>
        <c:axId val="102716544"/>
      </c:scatterChart>
      <c:valAx>
        <c:axId val="10270016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2702080"/>
        <c:crosses val="autoZero"/>
        <c:crossBetween val="midCat"/>
        <c:majorUnit val="100"/>
      </c:valAx>
      <c:valAx>
        <c:axId val="10270208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2700160"/>
        <c:crosses val="autoZero"/>
        <c:crossBetween val="midCat"/>
        <c:majorUnit val="1"/>
      </c:valAx>
      <c:valAx>
        <c:axId val="10271654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5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2718464"/>
        <c:crosses val="max"/>
        <c:crossBetween val="midCat"/>
      </c:valAx>
      <c:valAx>
        <c:axId val="10271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716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899" l="0.70000000000000095" r="0.70000000000000095" t="0.75000000000000899" header="0.3" footer="0.3"/>
    <c:pageSetup paperSize="9" orientation="landscape" horizontalDpi="-3" verticalDpi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'200020G2'!$N$28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'200020G2'!$N$30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'200020G2'!$Q$29:$Q$30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'200020G2'!$N$32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'200020G2'!$Q$31:$Q$32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'200020G2'!$Q$33:$Q$34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'200020G2'!$N$36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'200020G2'!$Q$35:$Q$36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'200020G2'!$N$38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'200020G2'!$Q$37:$Q$38</c:f>
              <c:strCache>
                <c:ptCount val="2"/>
                <c:pt idx="0">
                  <c:v>N/A</c:v>
                </c:pt>
                <c:pt idx="1">
                  <c:v>893</c:v>
                </c:pt>
              </c:strCache>
            </c:strRef>
          </c:xVal>
          <c:yVal>
            <c:numRef>
              <c:f>'200020G2'!$R$37:$R$38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'200020G2'!$N$40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'200020G2'!$Q$39:$Q$40</c:f>
              <c:numCache>
                <c:formatCode>0</c:formatCode>
                <c:ptCount val="2"/>
                <c:pt idx="0">
                  <c:v>27.193097453460911</c:v>
                </c:pt>
                <c:pt idx="1">
                  <c:v>750</c:v>
                </c:pt>
              </c:numCache>
            </c:numRef>
          </c:xVal>
          <c:yVal>
            <c:numRef>
              <c:f>'200020G2'!$R$39:$R$40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146.00699431440088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24576"/>
        <c:axId val="10395315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'200020G2'!$P$36</c:f>
              <c:numCache>
                <c:formatCode>0.0</c:formatCode>
                <c:ptCount val="1"/>
                <c:pt idx="0">
                  <c:v>3.7753781010324681</c:v>
                </c:pt>
              </c:numCache>
            </c:numRef>
          </c:xVal>
          <c:yVal>
            <c:numRef>
              <c:f>'200020G2'!$P$22</c:f>
              <c:numCache>
                <c:formatCode>0.00</c:formatCode>
                <c:ptCount val="1"/>
                <c:pt idx="0">
                  <c:v>58.117848202520626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69536"/>
        <c:axId val="103955072"/>
      </c:scatterChart>
      <c:valAx>
        <c:axId val="102824576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953152"/>
        <c:crossesAt val="0"/>
        <c:crossBetween val="midCat"/>
        <c:majorUnit val="100"/>
        <c:minorUnit val="100"/>
      </c:valAx>
      <c:valAx>
        <c:axId val="103953152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824576"/>
        <c:crosses val="autoZero"/>
        <c:crossBetween val="midCat"/>
        <c:majorUnit val="20"/>
        <c:minorUnit val="1"/>
      </c:valAx>
      <c:valAx>
        <c:axId val="103955072"/>
        <c:scaling>
          <c:orientation val="minMax"/>
          <c:max val="58.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3969536"/>
        <c:crosses val="max"/>
        <c:crossBetween val="midCat"/>
        <c:majorUnit val="10"/>
      </c:valAx>
      <c:valAx>
        <c:axId val="10396953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39550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5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'100005G2'!$N$39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'100005G2'!$O$39:$O$40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'100005G2'!$P$39:$P$40</c:f>
              <c:numCache>
                <c:formatCode>0.0</c:formatCode>
                <c:ptCount val="2"/>
                <c:pt idx="0">
                  <c:v>0</c:v>
                </c:pt>
                <c:pt idx="1">
                  <c:v>1.6966629333192278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'100005G2'!$N$37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'100005G2'!$O$37:$O$38</c:f>
              <c:numCache>
                <c:formatCode>0</c:formatCode>
                <c:ptCount val="2"/>
                <c:pt idx="0">
                  <c:v>0</c:v>
                </c:pt>
                <c:pt idx="1">
                  <c:v>1228.5714285714287</c:v>
                </c:pt>
              </c:numCache>
            </c:numRef>
          </c:xVal>
          <c:yVal>
            <c:numRef>
              <c:f>'100005G2'!$P$37:$P$38</c:f>
              <c:numCache>
                <c:formatCode>0.0</c:formatCode>
                <c:ptCount val="2"/>
                <c:pt idx="0">
                  <c:v>0</c:v>
                </c:pt>
                <c:pt idx="1">
                  <c:v>1.869717318077909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'100005G2'!$N$35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'100005G2'!$O$35:$O$36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'100005G2'!$P$35:$P$36</c:f>
              <c:numCache>
                <c:formatCode>0.0</c:formatCode>
                <c:ptCount val="2"/>
                <c:pt idx="0">
                  <c:v>0</c:v>
                </c:pt>
                <c:pt idx="1">
                  <c:v>1.7635281066469191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'100005G2'!$N$33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'100005G2'!$O$33:$O$34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'100005G2'!$P$33:$P$34</c:f>
              <c:numCache>
                <c:formatCode>0.0</c:formatCode>
                <c:ptCount val="2"/>
                <c:pt idx="0">
                  <c:v>0</c:v>
                </c:pt>
                <c:pt idx="1">
                  <c:v>1.5188081066469192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'100005G2'!$N$31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'100005G2'!$O$31:$O$32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'100005G2'!$P$31:$P$32</c:f>
              <c:numCache>
                <c:formatCode>0.0</c:formatCode>
                <c:ptCount val="2"/>
                <c:pt idx="0">
                  <c:v>0</c:v>
                </c:pt>
                <c:pt idx="1">
                  <c:v>1.2740881066469192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'100005G2'!$N$29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'100005G2'!$O$29:$O$30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'100005G2'!$P$29:$P$30</c:f>
              <c:numCache>
                <c:formatCode>0.0</c:formatCode>
                <c:ptCount val="2"/>
                <c:pt idx="0">
                  <c:v>0</c:v>
                </c:pt>
                <c:pt idx="1">
                  <c:v>1.0293681066469191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'100005G2'!$N$27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'100005G2'!$P$27:$P$28</c:f>
              <c:numCache>
                <c:formatCode>0.0</c:formatCode>
                <c:ptCount val="2"/>
                <c:pt idx="0">
                  <c:v>0</c:v>
                </c:pt>
                <c:pt idx="1">
                  <c:v>0.90700810664691922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6400"/>
        <c:axId val="10248832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'100005G2'!$P$23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4848"/>
        <c:axId val="102252928"/>
      </c:scatterChart>
      <c:valAx>
        <c:axId val="10248640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488320"/>
        <c:crossesAt val="0"/>
        <c:crossBetween val="midCat"/>
        <c:majorUnit val="200"/>
        <c:minorUnit val="100"/>
      </c:valAx>
      <c:valAx>
        <c:axId val="102488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2486400"/>
        <c:crosses val="autoZero"/>
        <c:crossBetween val="midCat"/>
        <c:majorUnit val="1"/>
        <c:minorUnit val="1"/>
      </c:valAx>
      <c:valAx>
        <c:axId val="102252928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254848"/>
        <c:crosses val="max"/>
        <c:crossBetween val="midCat"/>
        <c:majorUnit val="1"/>
      </c:valAx>
      <c:valAx>
        <c:axId val="102254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2529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8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'200020G2'!$N$39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'200020G2'!$O$39:$O$40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'200020G2'!$P$39:$P$40</c:f>
              <c:numCache>
                <c:formatCode>0.0</c:formatCode>
                <c:ptCount val="2"/>
                <c:pt idx="0">
                  <c:v>0</c:v>
                </c:pt>
                <c:pt idx="1">
                  <c:v>4.2707835757743506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'200020G2'!$N$37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'200020G2'!$O$37:$O$38</c:f>
              <c:numCache>
                <c:formatCode>0</c:formatCode>
                <c:ptCount val="2"/>
                <c:pt idx="0">
                  <c:v>0</c:v>
                </c:pt>
                <c:pt idx="1">
                  <c:v>892.85714285714289</c:v>
                </c:pt>
              </c:numCache>
            </c:numRef>
          </c:xVal>
          <c:yVal>
            <c:numRef>
              <c:f>'200020G2'!$P$37:$P$38</c:f>
              <c:numCache>
                <c:formatCode>0.0</c:formatCode>
                <c:ptCount val="2"/>
                <c:pt idx="0">
                  <c:v>0</c:v>
                </c:pt>
                <c:pt idx="1">
                  <c:v>4.3989090187789888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'200020G2'!$N$35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'200020G2'!$O$35:$O$36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'200020G2'!$P$35:$P$36</c:f>
              <c:numCache>
                <c:formatCode>0.0</c:formatCode>
                <c:ptCount val="2"/>
                <c:pt idx="0">
                  <c:v>0</c:v>
                </c:pt>
                <c:pt idx="1">
                  <c:v>3.7753781010324681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'200020G2'!$N$33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'200020G2'!$O$33:$O$34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'200020G2'!$P$33:$P$34</c:f>
              <c:numCache>
                <c:formatCode>0.0</c:formatCode>
                <c:ptCount val="2"/>
                <c:pt idx="0">
                  <c:v>0</c:v>
                </c:pt>
                <c:pt idx="1">
                  <c:v>3.0077781010324682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'200020G2'!$N$31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'200020G2'!$O$31:$O$32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'200020G2'!$P$31:$P$32</c:f>
              <c:numCache>
                <c:formatCode>0.0</c:formatCode>
                <c:ptCount val="2"/>
                <c:pt idx="0">
                  <c:v>0</c:v>
                </c:pt>
                <c:pt idx="1">
                  <c:v>2.2401781010324679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'200020G2'!$N$29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'200020G2'!$O$29:$O$30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'200020G2'!$P$29:$P$30</c:f>
              <c:numCache>
                <c:formatCode>0.0</c:formatCode>
                <c:ptCount val="2"/>
                <c:pt idx="0">
                  <c:v>0</c:v>
                </c:pt>
                <c:pt idx="1">
                  <c:v>1.4725781010324683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'200020G2'!$N$27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'200020G2'!$P$27:$P$28</c:f>
              <c:numCache>
                <c:formatCode>0.0</c:formatCode>
                <c:ptCount val="2"/>
                <c:pt idx="0">
                  <c:v>0</c:v>
                </c:pt>
                <c:pt idx="1">
                  <c:v>1.0887781010324682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08704"/>
        <c:axId val="104023168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'200020G2'!$P$23</c:f>
              <c:numCache>
                <c:formatCode>0.00</c:formatCode>
                <c:ptCount val="1"/>
                <c:pt idx="0">
                  <c:v>8.0461320000000001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1360"/>
        <c:axId val="104025088"/>
      </c:scatterChart>
      <c:valAx>
        <c:axId val="104008704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023168"/>
        <c:crossesAt val="0"/>
        <c:crossBetween val="midCat"/>
        <c:majorUnit val="100"/>
        <c:minorUnit val="100"/>
      </c:valAx>
      <c:valAx>
        <c:axId val="104023168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008704"/>
        <c:crosses val="autoZero"/>
        <c:crossBetween val="midCat"/>
        <c:majorUnit val="1"/>
        <c:minorUnit val="1"/>
      </c:valAx>
      <c:valAx>
        <c:axId val="104025088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031360"/>
        <c:crosses val="max"/>
        <c:crossBetween val="midCat"/>
        <c:majorUnit val="1"/>
      </c:valAx>
      <c:valAx>
        <c:axId val="10403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0250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'200020G3'!$O$1:$O$2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'200020G3'!$P$1:$P$2</c:f>
              <c:numCache>
                <c:formatCode>General</c:formatCode>
                <c:ptCount val="2"/>
                <c:pt idx="0">
                  <c:v>0</c:v>
                </c:pt>
                <c:pt idx="1">
                  <c:v>202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'200020G3'!$O$3:$O$5</c:f>
              <c:numCache>
                <c:formatCode>General</c:formatCode>
                <c:ptCount val="3"/>
                <c:pt idx="0">
                  <c:v>86.599038047520366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'200020G3'!$P$3:$P$5</c:f>
              <c:numCache>
                <c:formatCode>General</c:formatCode>
                <c:ptCount val="3"/>
                <c:pt idx="0">
                  <c:v>0</c:v>
                </c:pt>
                <c:pt idx="1">
                  <c:v>134.00699431440088</c:v>
                </c:pt>
                <c:pt idx="2">
                  <c:v>186.93000640391693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'200020G3'!$O$7:$O$8</c:f>
              <c:numCache>
                <c:formatCode>General</c:formatCode>
                <c:ptCount val="2"/>
                <c:pt idx="0">
                  <c:v>17.634607862809617</c:v>
                </c:pt>
                <c:pt idx="1">
                  <c:v>1000</c:v>
                </c:pt>
              </c:numCache>
            </c:numRef>
          </c:xVal>
          <c:yVal>
            <c:numRef>
              <c:f>'200020G3'!$P$7:$P$8</c:f>
              <c:numCache>
                <c:formatCode>General</c:formatCode>
                <c:ptCount val="2"/>
                <c:pt idx="0">
                  <c:v>0</c:v>
                </c:pt>
                <c:pt idx="1">
                  <c:v>198.43780921171248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'200020G3'!$O$6</c:f>
              <c:numCache>
                <c:formatCode>0</c:formatCode>
                <c:ptCount val="1"/>
                <c:pt idx="0">
                  <c:v>344</c:v>
                </c:pt>
              </c:numCache>
            </c:numRef>
          </c:xVal>
          <c:yVal>
            <c:numRef>
              <c:f>'200020G3'!$P$6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44064"/>
        <c:axId val="10328960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'200020G3'!$O$9:$O$10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'200020G3'!$P$9:$P$10</c:f>
              <c:numCache>
                <c:formatCode>General</c:formatCode>
                <c:ptCount val="2"/>
                <c:pt idx="0">
                  <c:v>0</c:v>
                </c:pt>
                <c:pt idx="1">
                  <c:v>44.433768608290379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91520"/>
        <c:axId val="103305600"/>
      </c:scatterChart>
      <c:valAx>
        <c:axId val="103144064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289600"/>
        <c:crossesAt val="0"/>
        <c:crossBetween val="midCat"/>
        <c:majorUnit val="100"/>
      </c:valAx>
      <c:valAx>
        <c:axId val="103289600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144064"/>
        <c:crosses val="autoZero"/>
        <c:crossBetween val="midCat"/>
        <c:majorUnit val="20"/>
        <c:minorUnit val="10"/>
      </c:valAx>
      <c:valAx>
        <c:axId val="10329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305600"/>
        <c:crosses val="autoZero"/>
        <c:crossBetween val="midCat"/>
      </c:valAx>
      <c:valAx>
        <c:axId val="103305600"/>
        <c:scaling>
          <c:orientation val="minMax"/>
          <c:max val="58.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291520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'200020G3'!$O$41</c:f>
              <c:numCache>
                <c:formatCode>0</c:formatCode>
                <c:ptCount val="1"/>
                <c:pt idx="0">
                  <c:v>344</c:v>
                </c:pt>
              </c:numCache>
            </c:numRef>
          </c:xVal>
          <c:yVal>
            <c:numRef>
              <c:f>'200020G3'!$P$42</c:f>
              <c:numCache>
                <c:formatCode>0.00</c:formatCode>
                <c:ptCount val="1"/>
                <c:pt idx="0">
                  <c:v>2.3973832885328248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4.0958935039664617</c:v>
              </c:pt>
              <c:pt idx="1">
                <c:v>6.2704773403848524</c:v>
              </c:pt>
              <c:pt idx="2">
                <c:v>9.0663708443512814</c:v>
              </c:pt>
              <c:pt idx="3">
                <c:v>12.483574015865949</c:v>
              </c:pt>
              <c:pt idx="4">
                <c:v>16.522086854928489</c:v>
              </c:pt>
              <c:pt idx="5">
                <c:v>21.18190936153928</c:v>
              </c:pt>
              <c:pt idx="6">
                <c:v>26.463041535698089</c:v>
              </c:pt>
              <c:pt idx="7">
                <c:v>32.365483377405127</c:v>
              </c:pt>
              <c:pt idx="8">
                <c:v>38.889234886659999</c:v>
              </c:pt>
              <c:pt idx="9">
                <c:v>46.034296063462889</c:v>
              </c:pt>
              <c:pt idx="10">
                <c:v>53.80066690781419</c:v>
              </c:pt>
              <c:pt idx="11">
                <c:v>62.18834741971375</c:v>
              </c:pt>
              <c:pt idx="12">
                <c:v>71.197337599161344</c:v>
              </c:pt>
              <c:pt idx="13">
                <c:v>80.827637446157112</c:v>
              </c:pt>
              <c:pt idx="14">
                <c:v>91.079246960700814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1.6873084234367739</c:v>
              </c:pt>
              <c:pt idx="1">
                <c:v>1.9885483083320159</c:v>
              </c:pt>
              <c:pt idx="2">
                <c:v>2.3758567317687458</c:v>
              </c:pt>
              <c:pt idx="3">
                <c:v>2.8492336937470331</c:v>
              </c:pt>
              <c:pt idx="4">
                <c:v>3.4086791942667931</c:v>
              </c:pt>
              <c:pt idx="5">
                <c:v>4.0541932333280446</c:v>
              </c:pt>
              <c:pt idx="6">
                <c:v>4.7857758109308284</c:v>
              </c:pt>
              <c:pt idx="7">
                <c:v>5.6034269270750636</c:v>
              </c:pt>
              <c:pt idx="8">
                <c:v>6.5071465817608622</c:v>
              </c:pt>
              <c:pt idx="9">
                <c:v>7.4969347749881337</c:v>
              </c:pt>
              <c:pt idx="10">
                <c:v>8.5727915067569267</c:v>
              </c:pt>
              <c:pt idx="11">
                <c:v>9.734716777067181</c:v>
              </c:pt>
              <c:pt idx="12">
                <c:v>10.98271058591898</c:v>
              </c:pt>
              <c:pt idx="13">
                <c:v>12.316772933312251</c:v>
              </c:pt>
              <c:pt idx="14">
                <c:v>13.73690381924702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2.968007873145158</c:v>
              </c:pt>
              <c:pt idx="1">
                <c:v>4.2653473300358371</c:v>
              </c:pt>
              <c:pt idx="2">
                <c:v>5.9333552031809944</c:v>
              </c:pt>
              <c:pt idx="3">
                <c:v>7.9720314925806921</c:v>
              </c:pt>
              <c:pt idx="4">
                <c:v>10.381376198234751</c:v>
              </c:pt>
              <c:pt idx="5">
                <c:v>13.16138932014335</c:v>
              </c:pt>
              <c:pt idx="6">
                <c:v>16.312070858306431</c:v>
              </c:pt>
              <c:pt idx="7">
                <c:v>19.833420812723769</c:v>
              </c:pt>
              <c:pt idx="8">
                <c:v>23.725439183395739</c:v>
              </c:pt>
              <c:pt idx="9">
                <c:v>27.988125970322219</c:v>
              </c:pt>
              <c:pt idx="10">
                <c:v>32.62148117350317</c:v>
              </c:pt>
              <c:pt idx="11">
                <c:v>37.62550479293941</c:v>
              </c:pt>
              <c:pt idx="12">
                <c:v>43.000196828629228</c:v>
              </c:pt>
              <c:pt idx="13">
                <c:v>48.745557280573671</c:v>
              </c:pt>
              <c:pt idx="14">
                <c:v>54.861586148772297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1.584639013207721</c:v>
              </c:pt>
              <c:pt idx="1">
                <c:v>1.80602491236928</c:v>
              </c:pt>
              <c:pt idx="2">
                <c:v>2.0906639255769992</c:v>
              </c:pt>
              <c:pt idx="3">
                <c:v>2.4385560528308821</c:v>
              </c:pt>
              <c:pt idx="4">
                <c:v>2.8497012941309232</c:v>
              </c:pt>
              <c:pt idx="5">
                <c:v>3.3240996494771231</c:v>
              </c:pt>
              <c:pt idx="6">
                <c:v>3.8617511188694849</c:v>
              </c:pt>
              <c:pt idx="7">
                <c:v>4.4626557023080053</c:v>
              </c:pt>
              <c:pt idx="8">
                <c:v>5.1268133997926864</c:v>
              </c:pt>
              <c:pt idx="9">
                <c:v>5.8542242113235279</c:v>
              </c:pt>
              <c:pt idx="10">
                <c:v>6.6448881369005246</c:v>
              </c:pt>
              <c:pt idx="11">
                <c:v>7.4988051765236907</c:v>
              </c:pt>
              <c:pt idx="12">
                <c:v>8.415975330193012</c:v>
              </c:pt>
              <c:pt idx="13">
                <c:v>9.3963985979085027</c:v>
              </c:pt>
              <c:pt idx="14">
                <c:v>10.440074979670131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2.3202076887705441</c:v>
              </c:pt>
              <c:pt idx="1">
                <c:v>3.1137025578143231</c:v>
              </c:pt>
              <c:pt idx="2">
                <c:v>4.1339102465848354</c:v>
              </c:pt>
              <c:pt idx="3">
                <c:v>5.3808307550821803</c:v>
              </c:pt>
              <c:pt idx="4">
                <c:v>6.8544640833062846</c:v>
              </c:pt>
              <c:pt idx="5">
                <c:v>8.5548102312572247</c:v>
              </c:pt>
              <c:pt idx="6">
                <c:v>10.4818691989349</c:v>
              </c:pt>
              <c:pt idx="7">
                <c:v>12.63564098633938</c:v>
              </c:pt>
              <c:pt idx="8">
                <c:v>15.016125593470649</c:v>
              </c:pt>
              <c:pt idx="9">
                <c:v>17.623323020328691</c:v>
              </c:pt>
              <c:pt idx="10">
                <c:v>20.45723326691353</c:v>
              </c:pt>
              <c:pt idx="11">
                <c:v>23.51785633322519</c:v>
              </c:pt>
              <c:pt idx="12">
                <c:v>26.805192219263581</c:v>
              </c:pt>
              <c:pt idx="13">
                <c:v>30.319240925028812</c:v>
              </c:pt>
              <c:pt idx="14">
                <c:v>34.060002450520813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1.484331239493605</c:v>
              </c:pt>
              <c:pt idx="1">
                <c:v>1.6276999813219639</c:v>
              </c:pt>
              <c:pt idx="2">
                <c:v>1.81203122081557</c:v>
              </c:pt>
              <c:pt idx="3">
                <c:v>2.0373249579744441</c:v>
              </c:pt>
              <c:pt idx="4">
                <c:v>2.3035811927985201</c:v>
              </c:pt>
              <c:pt idx="5">
                <c:v>2.610799925287858</c:v>
              </c:pt>
              <c:pt idx="6">
                <c:v>2.9589811554424452</c:v>
              </c:pt>
              <c:pt idx="7">
                <c:v>3.3481248832622801</c:v>
              </c:pt>
              <c:pt idx="8">
                <c:v>3.7782311087473901</c:v>
              </c:pt>
              <c:pt idx="9">
                <c:v>4.2492998318977024</c:v>
              </c:pt>
              <c:pt idx="10">
                <c:v>4.76133105271325</c:v>
              </c:pt>
              <c:pt idx="11">
                <c:v>5.3143247711940642</c:v>
              </c:pt>
              <c:pt idx="12">
                <c:v>5.9082809873401434</c:v>
              </c:pt>
              <c:pt idx="13">
                <c:v>6.5431997011514333</c:v>
              </c:pt>
              <c:pt idx="14">
                <c:v>7.2190809126279776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1.8660662492530979</c:v>
              </c:pt>
              <c:pt idx="1">
                <c:v>2.3063399986721751</c:v>
              </c:pt>
              <c:pt idx="2">
                <c:v>2.8724062479252721</c:v>
              </c:pt>
              <c:pt idx="3">
                <c:v>3.5642649970124012</c:v>
              </c:pt>
              <c:pt idx="4">
                <c:v>4.3819162459335343</c:v>
              </c:pt>
              <c:pt idx="5">
                <c:v>5.3253599946886974</c:v>
              </c:pt>
              <c:pt idx="6">
                <c:v>6.3945962432778636</c:v>
              </c:pt>
              <c:pt idx="7">
                <c:v>7.5896249917010934</c:v>
              </c:pt>
              <c:pt idx="8">
                <c:v>8.9104462399584765</c:v>
              </c:pt>
              <c:pt idx="9">
                <c:v>10.357059988049571</c:v>
              </c:pt>
              <c:pt idx="10">
                <c:v>11.929466235974941</c:v>
              </c:pt>
              <c:pt idx="11">
                <c:v>13.6276649837341</c:v>
              </c:pt>
              <c:pt idx="12">
                <c:v>15.451656231327579</c:v>
              </c:pt>
              <c:pt idx="13">
                <c:v>17.40143997875462</c:v>
              </c:pt>
              <c:pt idx="14">
                <c:v>19.477016226016151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1.4470629674454341</c:v>
              </c:pt>
              <c:pt idx="1">
                <c:v>1.5614452754585499</c:v>
              </c:pt>
              <c:pt idx="2">
                <c:v>1.708508242903974</c:v>
              </c:pt>
              <c:pt idx="3">
                <c:v>1.8882518697817561</c:v>
              </c:pt>
              <c:pt idx="4">
                <c:v>2.1006761560918048</c:v>
              </c:pt>
              <c:pt idx="5">
                <c:v>2.3457811018341941</c:v>
              </c:pt>
              <c:pt idx="6">
                <c:v>2.6235667070089268</c:v>
              </c:pt>
              <c:pt idx="7">
                <c:v>2.9340329716159279</c:v>
              </c:pt>
              <c:pt idx="8">
                <c:v>3.2771798956552738</c:v>
              </c:pt>
              <c:pt idx="9">
                <c:v>3.6530074791269378</c:v>
              </c:pt>
              <c:pt idx="10">
                <c:v>4.0615157220308946</c:v>
              </c:pt>
              <c:pt idx="11">
                <c:v>4.5027046243672064</c:v>
              </c:pt>
              <c:pt idx="12">
                <c:v>4.9765741861358403</c:v>
              </c:pt>
              <c:pt idx="13">
                <c:v>5.4831244073367769</c:v>
              </c:pt>
              <c:pt idx="14">
                <c:v>6.0223552879700266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45280"/>
        <c:axId val="10414720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67680"/>
        <c:axId val="104165760"/>
      </c:scatterChart>
      <c:valAx>
        <c:axId val="10414528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147200"/>
        <c:crosses val="autoZero"/>
        <c:crossBetween val="midCat"/>
        <c:majorUnit val="100"/>
      </c:valAx>
      <c:valAx>
        <c:axId val="1041472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145280"/>
        <c:crosses val="autoZero"/>
        <c:crossBetween val="midCat"/>
        <c:majorUnit val="1"/>
      </c:valAx>
      <c:valAx>
        <c:axId val="10416576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167680"/>
        <c:crosses val="max"/>
        <c:crossBetween val="midCat"/>
      </c:valAx>
      <c:valAx>
        <c:axId val="10416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165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'200020G4'!$N$28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'200020G4'!$N$30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'200020G4'!$Q$29:$Q$30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'200020G4'!$N$32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'200020G4'!$Q$31:$Q$32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'200020G4'!$Q$33:$Q$34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'200020G4'!$N$36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'200020G4'!$Q$35:$Q$36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'200020G4'!$N$38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'200020G4'!$Q$37:$Q$38</c:f>
              <c:strCache>
                <c:ptCount val="2"/>
                <c:pt idx="0">
                  <c:v>N/A</c:v>
                </c:pt>
                <c:pt idx="1">
                  <c:v>893</c:v>
                </c:pt>
              </c:strCache>
            </c:strRef>
          </c:xVal>
          <c:yVal>
            <c:numRef>
              <c:f>'200020G4'!$R$37:$R$38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'200020G4'!$N$40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'200020G4'!$Q$39:$Q$40</c:f>
              <c:numCache>
                <c:formatCode>0</c:formatCode>
                <c:ptCount val="2"/>
                <c:pt idx="0">
                  <c:v>86.59903804752031</c:v>
                </c:pt>
                <c:pt idx="1">
                  <c:v>750</c:v>
                </c:pt>
              </c:numCache>
            </c:numRef>
          </c:xVal>
          <c:yVal>
            <c:numRef>
              <c:f>'200020G4'!$R$39:$R$40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134.00699431440088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69696"/>
        <c:axId val="10428006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'200020G4'!$P$36</c:f>
              <c:numCache>
                <c:formatCode>0.0</c:formatCode>
                <c:ptCount val="1"/>
                <c:pt idx="0">
                  <c:v>3.7753781010324681</c:v>
                </c:pt>
              </c:numCache>
            </c:numRef>
          </c:xVal>
          <c:yVal>
            <c:numRef>
              <c:f>'200020G4'!$P$22</c:f>
              <c:numCache>
                <c:formatCode>0.00</c:formatCode>
                <c:ptCount val="1"/>
                <c:pt idx="0">
                  <c:v>18.492042609892927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84160"/>
        <c:axId val="104281984"/>
      </c:scatterChart>
      <c:valAx>
        <c:axId val="104269696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280064"/>
        <c:crossesAt val="0"/>
        <c:crossBetween val="midCat"/>
        <c:majorUnit val="100"/>
        <c:minorUnit val="100"/>
      </c:valAx>
      <c:valAx>
        <c:axId val="104280064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269696"/>
        <c:crosses val="autoZero"/>
        <c:crossBetween val="midCat"/>
        <c:majorUnit val="20"/>
        <c:minorUnit val="1"/>
      </c:valAx>
      <c:valAx>
        <c:axId val="104281984"/>
        <c:scaling>
          <c:orientation val="minMax"/>
          <c:max val="58.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284160"/>
        <c:crosses val="max"/>
        <c:crossBetween val="midCat"/>
        <c:majorUnit val="10"/>
      </c:valAx>
      <c:valAx>
        <c:axId val="10428416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4281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'200020G4'!$N$39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'200020G4'!$O$39:$O$40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'200020G4'!$P$39:$P$40</c:f>
              <c:numCache>
                <c:formatCode>0.0</c:formatCode>
                <c:ptCount val="2"/>
                <c:pt idx="0">
                  <c:v>0</c:v>
                </c:pt>
                <c:pt idx="1">
                  <c:v>4.2707835757743506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'200020G4'!$N$37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'200020G4'!$O$37:$O$38</c:f>
              <c:numCache>
                <c:formatCode>0</c:formatCode>
                <c:ptCount val="2"/>
                <c:pt idx="0">
                  <c:v>0</c:v>
                </c:pt>
                <c:pt idx="1">
                  <c:v>892.85714285714289</c:v>
                </c:pt>
              </c:numCache>
            </c:numRef>
          </c:xVal>
          <c:yVal>
            <c:numRef>
              <c:f>'200020G4'!$P$37:$P$38</c:f>
              <c:numCache>
                <c:formatCode>0.0</c:formatCode>
                <c:ptCount val="2"/>
                <c:pt idx="0">
                  <c:v>0</c:v>
                </c:pt>
                <c:pt idx="1">
                  <c:v>4.3989090187789888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'200020G4'!$N$35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'200020G4'!$O$35:$O$36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'200020G4'!$P$35:$P$36</c:f>
              <c:numCache>
                <c:formatCode>0.0</c:formatCode>
                <c:ptCount val="2"/>
                <c:pt idx="0">
                  <c:v>0</c:v>
                </c:pt>
                <c:pt idx="1">
                  <c:v>3.7753781010324681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'200020G4'!$N$33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'200020G4'!$O$33:$O$34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'200020G4'!$P$33:$P$34</c:f>
              <c:numCache>
                <c:formatCode>0.0</c:formatCode>
                <c:ptCount val="2"/>
                <c:pt idx="0">
                  <c:v>0</c:v>
                </c:pt>
                <c:pt idx="1">
                  <c:v>3.0077781010324682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'200020G4'!$N$31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'200020G4'!$O$31:$O$32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'200020G4'!$P$31:$P$32</c:f>
              <c:numCache>
                <c:formatCode>0.0</c:formatCode>
                <c:ptCount val="2"/>
                <c:pt idx="0">
                  <c:v>0</c:v>
                </c:pt>
                <c:pt idx="1">
                  <c:v>2.2401781010324679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'200020G4'!$N$29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'200020G4'!$O$29:$O$30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'200020G4'!$P$29:$P$30</c:f>
              <c:numCache>
                <c:formatCode>0.0</c:formatCode>
                <c:ptCount val="2"/>
                <c:pt idx="0">
                  <c:v>0</c:v>
                </c:pt>
                <c:pt idx="1">
                  <c:v>1.4725781010324683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'200020G4'!$N$27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'200020G4'!$P$27:$P$28</c:f>
              <c:numCache>
                <c:formatCode>0.0</c:formatCode>
                <c:ptCount val="2"/>
                <c:pt idx="0">
                  <c:v>0</c:v>
                </c:pt>
                <c:pt idx="1">
                  <c:v>1.0887781010324682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23328"/>
        <c:axId val="10407155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'200020G4'!$P$23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87936"/>
        <c:axId val="104073472"/>
      </c:scatterChart>
      <c:valAx>
        <c:axId val="104323328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071552"/>
        <c:crossesAt val="0"/>
        <c:crossBetween val="midCat"/>
        <c:majorUnit val="100"/>
        <c:minorUnit val="100"/>
      </c:valAx>
      <c:valAx>
        <c:axId val="10407155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323328"/>
        <c:crosses val="autoZero"/>
        <c:crossBetween val="midCat"/>
        <c:majorUnit val="1"/>
        <c:minorUnit val="1"/>
      </c:valAx>
      <c:valAx>
        <c:axId val="104073472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087936"/>
        <c:crosses val="max"/>
        <c:crossBetween val="midCat"/>
        <c:majorUnit val="1"/>
      </c:valAx>
      <c:valAx>
        <c:axId val="10408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0734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'200020G5'!$O$1:$O$2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'200020G5'!$P$1:$P$2</c:f>
              <c:numCache>
                <c:formatCode>General</c:formatCode>
                <c:ptCount val="2"/>
                <c:pt idx="0">
                  <c:v>0</c:v>
                </c:pt>
                <c:pt idx="1">
                  <c:v>202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'200020G5'!$O$3:$O$5</c:f>
              <c:numCache>
                <c:formatCode>General</c:formatCode>
                <c:ptCount val="3"/>
                <c:pt idx="0">
                  <c:v>175.70794893860943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'200020G5'!$P$3:$P$5</c:f>
              <c:numCache>
                <c:formatCode>General</c:formatCode>
                <c:ptCount val="3"/>
                <c:pt idx="0">
                  <c:v>0</c:v>
                </c:pt>
                <c:pt idx="1">
                  <c:v>116.0069943144009</c:v>
                </c:pt>
                <c:pt idx="2">
                  <c:v>173.30500640391693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'200020G5'!$O$7:$O$8</c:f>
              <c:numCache>
                <c:formatCode>General</c:formatCode>
                <c:ptCount val="2"/>
                <c:pt idx="0">
                  <c:v>19.175254804696237</c:v>
                </c:pt>
                <c:pt idx="1">
                  <c:v>1000</c:v>
                </c:pt>
              </c:numCache>
            </c:numRef>
          </c:xVal>
          <c:yVal>
            <c:numRef>
              <c:f>'200020G5'!$P$7:$P$8</c:f>
              <c:numCache>
                <c:formatCode>General</c:formatCode>
                <c:ptCount val="2"/>
                <c:pt idx="0">
                  <c:v>0</c:v>
                </c:pt>
                <c:pt idx="1">
                  <c:v>198.12659852945137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'200020G5'!$O$6</c:f>
              <c:numCache>
                <c:formatCode>0</c:formatCode>
                <c:ptCount val="1"/>
                <c:pt idx="0">
                  <c:v>346</c:v>
                </c:pt>
              </c:numCache>
            </c:numRef>
          </c:xVal>
          <c:yVal>
            <c:numRef>
              <c:f>'200020G5'!$P$6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24928"/>
        <c:axId val="10406707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'200020G5'!$O$9:$O$10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'200020G5'!$P$9:$P$10</c:f>
              <c:numCache>
                <c:formatCode>General</c:formatCode>
                <c:ptCount val="2"/>
                <c:pt idx="0">
                  <c:v>0</c:v>
                </c:pt>
                <c:pt idx="1">
                  <c:v>44.433768608290379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68992"/>
        <c:axId val="104070528"/>
      </c:scatterChart>
      <c:valAx>
        <c:axId val="103724928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067072"/>
        <c:crossesAt val="0"/>
        <c:crossBetween val="midCat"/>
        <c:majorUnit val="100"/>
      </c:valAx>
      <c:valAx>
        <c:axId val="104067072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3724928"/>
        <c:crosses val="autoZero"/>
        <c:crossBetween val="midCat"/>
        <c:majorUnit val="20"/>
        <c:minorUnit val="10"/>
      </c:valAx>
      <c:valAx>
        <c:axId val="10406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070528"/>
        <c:crosses val="autoZero"/>
        <c:crossBetween val="midCat"/>
      </c:valAx>
      <c:valAx>
        <c:axId val="104070528"/>
        <c:scaling>
          <c:orientation val="minMax"/>
          <c:max val="58.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068992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'200020G5'!$O$41</c:f>
              <c:numCache>
                <c:formatCode>0</c:formatCode>
                <c:ptCount val="1"/>
                <c:pt idx="0">
                  <c:v>346</c:v>
                </c:pt>
              </c:numCache>
            </c:numRef>
          </c:xVal>
          <c:yVal>
            <c:numRef>
              <c:f>'200020G5'!$P$42</c:f>
              <c:numCache>
                <c:formatCode>0.00</c:formatCode>
                <c:ptCount val="1"/>
                <c:pt idx="0">
                  <c:v>2.4026404311146345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4.0958935039664617</c:v>
              </c:pt>
              <c:pt idx="1">
                <c:v>6.2704773403848524</c:v>
              </c:pt>
              <c:pt idx="2">
                <c:v>9.0663708443512814</c:v>
              </c:pt>
              <c:pt idx="3">
                <c:v>12.483574015865949</c:v>
              </c:pt>
              <c:pt idx="4">
                <c:v>16.522086854928489</c:v>
              </c:pt>
              <c:pt idx="5">
                <c:v>21.18190936153928</c:v>
              </c:pt>
              <c:pt idx="6">
                <c:v>26.463041535698089</c:v>
              </c:pt>
              <c:pt idx="7">
                <c:v>32.365483377405127</c:v>
              </c:pt>
              <c:pt idx="8">
                <c:v>38.889234886659999</c:v>
              </c:pt>
              <c:pt idx="9">
                <c:v>46.034296063462889</c:v>
              </c:pt>
              <c:pt idx="10">
                <c:v>53.80066690781419</c:v>
              </c:pt>
              <c:pt idx="11">
                <c:v>62.18834741971375</c:v>
              </c:pt>
              <c:pt idx="12">
                <c:v>71.197337599161344</c:v>
              </c:pt>
              <c:pt idx="13">
                <c:v>80.827637446157112</c:v>
              </c:pt>
              <c:pt idx="14">
                <c:v>91.079246960700814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1.6873084234367739</c:v>
              </c:pt>
              <c:pt idx="1">
                <c:v>1.9885483083320159</c:v>
              </c:pt>
              <c:pt idx="2">
                <c:v>2.3758567317687458</c:v>
              </c:pt>
              <c:pt idx="3">
                <c:v>2.8492336937470331</c:v>
              </c:pt>
              <c:pt idx="4">
                <c:v>3.4086791942667931</c:v>
              </c:pt>
              <c:pt idx="5">
                <c:v>4.0541932333280446</c:v>
              </c:pt>
              <c:pt idx="6">
                <c:v>4.7857758109308284</c:v>
              </c:pt>
              <c:pt idx="7">
                <c:v>5.6034269270750636</c:v>
              </c:pt>
              <c:pt idx="8">
                <c:v>6.5071465817608622</c:v>
              </c:pt>
              <c:pt idx="9">
                <c:v>7.4969347749881337</c:v>
              </c:pt>
              <c:pt idx="10">
                <c:v>8.5727915067569267</c:v>
              </c:pt>
              <c:pt idx="11">
                <c:v>9.734716777067181</c:v>
              </c:pt>
              <c:pt idx="12">
                <c:v>10.98271058591898</c:v>
              </c:pt>
              <c:pt idx="13">
                <c:v>12.316772933312251</c:v>
              </c:pt>
              <c:pt idx="14">
                <c:v>13.73690381924702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2.968007873145158</c:v>
              </c:pt>
              <c:pt idx="1">
                <c:v>4.2653473300358371</c:v>
              </c:pt>
              <c:pt idx="2">
                <c:v>5.9333552031809944</c:v>
              </c:pt>
              <c:pt idx="3">
                <c:v>7.9720314925806921</c:v>
              </c:pt>
              <c:pt idx="4">
                <c:v>10.381376198234751</c:v>
              </c:pt>
              <c:pt idx="5">
                <c:v>13.16138932014335</c:v>
              </c:pt>
              <c:pt idx="6">
                <c:v>16.312070858306431</c:v>
              </c:pt>
              <c:pt idx="7">
                <c:v>19.833420812723769</c:v>
              </c:pt>
              <c:pt idx="8">
                <c:v>23.725439183395739</c:v>
              </c:pt>
              <c:pt idx="9">
                <c:v>27.988125970322219</c:v>
              </c:pt>
              <c:pt idx="10">
                <c:v>32.62148117350317</c:v>
              </c:pt>
              <c:pt idx="11">
                <c:v>37.62550479293941</c:v>
              </c:pt>
              <c:pt idx="12">
                <c:v>43.000196828629228</c:v>
              </c:pt>
              <c:pt idx="13">
                <c:v>48.745557280573671</c:v>
              </c:pt>
              <c:pt idx="14">
                <c:v>54.861586148772297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1.584639013207721</c:v>
              </c:pt>
              <c:pt idx="1">
                <c:v>1.80602491236928</c:v>
              </c:pt>
              <c:pt idx="2">
                <c:v>2.0906639255769992</c:v>
              </c:pt>
              <c:pt idx="3">
                <c:v>2.4385560528308821</c:v>
              </c:pt>
              <c:pt idx="4">
                <c:v>2.8497012941309232</c:v>
              </c:pt>
              <c:pt idx="5">
                <c:v>3.3240996494771231</c:v>
              </c:pt>
              <c:pt idx="6">
                <c:v>3.8617511188694849</c:v>
              </c:pt>
              <c:pt idx="7">
                <c:v>4.4626557023080053</c:v>
              </c:pt>
              <c:pt idx="8">
                <c:v>5.1268133997926864</c:v>
              </c:pt>
              <c:pt idx="9">
                <c:v>5.8542242113235279</c:v>
              </c:pt>
              <c:pt idx="10">
                <c:v>6.6448881369005246</c:v>
              </c:pt>
              <c:pt idx="11">
                <c:v>7.4988051765236907</c:v>
              </c:pt>
              <c:pt idx="12">
                <c:v>8.415975330193012</c:v>
              </c:pt>
              <c:pt idx="13">
                <c:v>9.3963985979085027</c:v>
              </c:pt>
              <c:pt idx="14">
                <c:v>10.440074979670131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2.3202076887705441</c:v>
              </c:pt>
              <c:pt idx="1">
                <c:v>3.1137025578143231</c:v>
              </c:pt>
              <c:pt idx="2">
                <c:v>4.1339102465848354</c:v>
              </c:pt>
              <c:pt idx="3">
                <c:v>5.3808307550821803</c:v>
              </c:pt>
              <c:pt idx="4">
                <c:v>6.8544640833062846</c:v>
              </c:pt>
              <c:pt idx="5">
                <c:v>8.5548102312572247</c:v>
              </c:pt>
              <c:pt idx="6">
                <c:v>10.4818691989349</c:v>
              </c:pt>
              <c:pt idx="7">
                <c:v>12.63564098633938</c:v>
              </c:pt>
              <c:pt idx="8">
                <c:v>15.016125593470649</c:v>
              </c:pt>
              <c:pt idx="9">
                <c:v>17.623323020328691</c:v>
              </c:pt>
              <c:pt idx="10">
                <c:v>20.45723326691353</c:v>
              </c:pt>
              <c:pt idx="11">
                <c:v>23.51785633322519</c:v>
              </c:pt>
              <c:pt idx="12">
                <c:v>26.805192219263581</c:v>
              </c:pt>
              <c:pt idx="13">
                <c:v>30.319240925028812</c:v>
              </c:pt>
              <c:pt idx="14">
                <c:v>34.060002450520813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1.484331239493605</c:v>
              </c:pt>
              <c:pt idx="1">
                <c:v>1.6276999813219639</c:v>
              </c:pt>
              <c:pt idx="2">
                <c:v>1.81203122081557</c:v>
              </c:pt>
              <c:pt idx="3">
                <c:v>2.0373249579744441</c:v>
              </c:pt>
              <c:pt idx="4">
                <c:v>2.3035811927985201</c:v>
              </c:pt>
              <c:pt idx="5">
                <c:v>2.610799925287858</c:v>
              </c:pt>
              <c:pt idx="6">
                <c:v>2.9589811554424452</c:v>
              </c:pt>
              <c:pt idx="7">
                <c:v>3.3481248832622801</c:v>
              </c:pt>
              <c:pt idx="8">
                <c:v>3.7782311087473901</c:v>
              </c:pt>
              <c:pt idx="9">
                <c:v>4.2492998318977024</c:v>
              </c:pt>
              <c:pt idx="10">
                <c:v>4.76133105271325</c:v>
              </c:pt>
              <c:pt idx="11">
                <c:v>5.3143247711940642</c:v>
              </c:pt>
              <c:pt idx="12">
                <c:v>5.9082809873401434</c:v>
              </c:pt>
              <c:pt idx="13">
                <c:v>6.5431997011514333</c:v>
              </c:pt>
              <c:pt idx="14">
                <c:v>7.2190809126279776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1.8660662492530979</c:v>
              </c:pt>
              <c:pt idx="1">
                <c:v>2.3063399986721751</c:v>
              </c:pt>
              <c:pt idx="2">
                <c:v>2.8724062479252721</c:v>
              </c:pt>
              <c:pt idx="3">
                <c:v>3.5642649970124012</c:v>
              </c:pt>
              <c:pt idx="4">
                <c:v>4.3819162459335343</c:v>
              </c:pt>
              <c:pt idx="5">
                <c:v>5.3253599946886974</c:v>
              </c:pt>
              <c:pt idx="6">
                <c:v>6.3945962432778636</c:v>
              </c:pt>
              <c:pt idx="7">
                <c:v>7.5896249917010934</c:v>
              </c:pt>
              <c:pt idx="8">
                <c:v>8.9104462399584765</c:v>
              </c:pt>
              <c:pt idx="9">
                <c:v>10.357059988049571</c:v>
              </c:pt>
              <c:pt idx="10">
                <c:v>11.929466235974941</c:v>
              </c:pt>
              <c:pt idx="11">
                <c:v>13.6276649837341</c:v>
              </c:pt>
              <c:pt idx="12">
                <c:v>15.451656231327579</c:v>
              </c:pt>
              <c:pt idx="13">
                <c:v>17.40143997875462</c:v>
              </c:pt>
              <c:pt idx="14">
                <c:v>19.477016226016151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1.4470629674454341</c:v>
              </c:pt>
              <c:pt idx="1">
                <c:v>1.5614452754585499</c:v>
              </c:pt>
              <c:pt idx="2">
                <c:v>1.708508242903974</c:v>
              </c:pt>
              <c:pt idx="3">
                <c:v>1.8882518697817561</c:v>
              </c:pt>
              <c:pt idx="4">
                <c:v>2.1006761560918048</c:v>
              </c:pt>
              <c:pt idx="5">
                <c:v>2.3457811018341941</c:v>
              </c:pt>
              <c:pt idx="6">
                <c:v>2.6235667070089268</c:v>
              </c:pt>
              <c:pt idx="7">
                <c:v>2.9340329716159279</c:v>
              </c:pt>
              <c:pt idx="8">
                <c:v>3.2771798956552738</c:v>
              </c:pt>
              <c:pt idx="9">
                <c:v>3.6530074791269378</c:v>
              </c:pt>
              <c:pt idx="10">
                <c:v>4.0615157220308946</c:v>
              </c:pt>
              <c:pt idx="11">
                <c:v>4.5027046243672064</c:v>
              </c:pt>
              <c:pt idx="12">
                <c:v>4.9765741861358403</c:v>
              </c:pt>
              <c:pt idx="13">
                <c:v>5.4831244073367769</c:v>
              </c:pt>
              <c:pt idx="14">
                <c:v>6.0223552879700266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75616"/>
        <c:axId val="103802368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14656"/>
        <c:axId val="103804288"/>
      </c:scatterChart>
      <c:valAx>
        <c:axId val="103775616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802368"/>
        <c:crosses val="autoZero"/>
        <c:crossBetween val="midCat"/>
        <c:majorUnit val="100"/>
      </c:valAx>
      <c:valAx>
        <c:axId val="10380236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775616"/>
        <c:crosses val="autoZero"/>
        <c:crossBetween val="midCat"/>
        <c:majorUnit val="1"/>
      </c:valAx>
      <c:valAx>
        <c:axId val="10380428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814656"/>
        <c:crosses val="max"/>
        <c:crossBetween val="midCat"/>
      </c:valAx>
      <c:valAx>
        <c:axId val="1038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8042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'200020G6'!$N$28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'200020G6'!$N$30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'200020G6'!$Q$29:$Q$30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'200020G6'!$N$32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'200020G6'!$Q$31:$Q$32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'200020G6'!$Q$33:$Q$34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'200020G6'!$N$36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'200020G6'!$Q$35:$Q$36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'200020G6'!$R$35:$R$36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'200020G6'!$N$38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'200020G6'!$Q$37:$Q$38</c:f>
              <c:strCache>
                <c:ptCount val="2"/>
                <c:pt idx="0">
                  <c:v>N/A</c:v>
                </c:pt>
                <c:pt idx="1">
                  <c:v>893</c:v>
                </c:pt>
              </c:strCache>
            </c:strRef>
          </c:xVal>
          <c:yVal>
            <c:numRef>
              <c:f>'200020G6'!$R$37:$R$38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'200020G6'!$N$40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'200020G6'!$Q$39:$Q$40</c:f>
              <c:numCache>
                <c:formatCode>0</c:formatCode>
                <c:ptCount val="2"/>
                <c:pt idx="0">
                  <c:v>175.70794893860941</c:v>
                </c:pt>
                <c:pt idx="1">
                  <c:v>750</c:v>
                </c:pt>
              </c:numCache>
            </c:numRef>
          </c:xVal>
          <c:yVal>
            <c:numRef>
              <c:f>'200020G6'!$R$39:$R$40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116.0069943144009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57344"/>
        <c:axId val="10445926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'200020G6'!$P$36</c:f>
              <c:numCache>
                <c:formatCode>0.0</c:formatCode>
                <c:ptCount val="1"/>
                <c:pt idx="0">
                  <c:v>3.7753781010324681</c:v>
                </c:pt>
              </c:numCache>
            </c:numRef>
          </c:xVal>
          <c:yVal>
            <c:numRef>
              <c:f>'200020G6'!$P$22</c:f>
              <c:numCache>
                <c:formatCode>0.00</c:formatCode>
                <c:ptCount val="1"/>
                <c:pt idx="0">
                  <c:v>18.492042609892927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81152"/>
        <c:axId val="104879232"/>
      </c:scatterChart>
      <c:valAx>
        <c:axId val="104457344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459264"/>
        <c:crossesAt val="0"/>
        <c:crossBetween val="midCat"/>
        <c:majorUnit val="100"/>
        <c:minorUnit val="100"/>
      </c:valAx>
      <c:valAx>
        <c:axId val="104459264"/>
        <c:scaling>
          <c:orientation val="minMax"/>
          <c:max val="2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457344"/>
        <c:crosses val="autoZero"/>
        <c:crossBetween val="midCat"/>
        <c:majorUnit val="20"/>
        <c:minorUnit val="1"/>
      </c:valAx>
      <c:valAx>
        <c:axId val="104879232"/>
        <c:scaling>
          <c:orientation val="minMax"/>
          <c:max val="58.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881152"/>
        <c:crosses val="max"/>
        <c:crossBetween val="midCat"/>
        <c:majorUnit val="10"/>
      </c:valAx>
      <c:valAx>
        <c:axId val="10488115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48792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'200020G6'!$N$39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'200020G6'!$O$39:$O$40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'200020G6'!$P$39:$P$40</c:f>
              <c:numCache>
                <c:formatCode>0.0</c:formatCode>
                <c:ptCount val="2"/>
                <c:pt idx="0">
                  <c:v>0</c:v>
                </c:pt>
                <c:pt idx="1">
                  <c:v>4.2707835757743506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'200020G6'!$N$37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'200020G6'!$O$37:$O$38</c:f>
              <c:numCache>
                <c:formatCode>0</c:formatCode>
                <c:ptCount val="2"/>
                <c:pt idx="0">
                  <c:v>0</c:v>
                </c:pt>
                <c:pt idx="1">
                  <c:v>892.85714285714289</c:v>
                </c:pt>
              </c:numCache>
            </c:numRef>
          </c:xVal>
          <c:yVal>
            <c:numRef>
              <c:f>'200020G6'!$P$37:$P$38</c:f>
              <c:numCache>
                <c:formatCode>0.0</c:formatCode>
                <c:ptCount val="2"/>
                <c:pt idx="0">
                  <c:v>0</c:v>
                </c:pt>
                <c:pt idx="1">
                  <c:v>4.3989090187789888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'200020G6'!$N$35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'200020G6'!$O$35:$O$36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'200020G6'!$P$35:$P$36</c:f>
              <c:numCache>
                <c:formatCode>0.0</c:formatCode>
                <c:ptCount val="2"/>
                <c:pt idx="0">
                  <c:v>0</c:v>
                </c:pt>
                <c:pt idx="1">
                  <c:v>3.7753781010324681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'200020G6'!$N$33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'200020G6'!$O$33:$O$34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'200020G6'!$P$33:$P$34</c:f>
              <c:numCache>
                <c:formatCode>0.0</c:formatCode>
                <c:ptCount val="2"/>
                <c:pt idx="0">
                  <c:v>0</c:v>
                </c:pt>
                <c:pt idx="1">
                  <c:v>3.0077781010324682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'200020G6'!$N$31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'200020G6'!$O$31:$O$32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'200020G6'!$P$31:$P$32</c:f>
              <c:numCache>
                <c:formatCode>0.0</c:formatCode>
                <c:ptCount val="2"/>
                <c:pt idx="0">
                  <c:v>0</c:v>
                </c:pt>
                <c:pt idx="1">
                  <c:v>2.2401781010324679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'200020G6'!$N$29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'200020G6'!$O$29:$O$30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'200020G6'!$P$29:$P$30</c:f>
              <c:numCache>
                <c:formatCode>0.0</c:formatCode>
                <c:ptCount val="2"/>
                <c:pt idx="0">
                  <c:v>0</c:v>
                </c:pt>
                <c:pt idx="1">
                  <c:v>1.4725781010324683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'200020G6'!$N$27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'200020G6'!$O$27:$O$28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'200020G6'!$P$27:$P$28</c:f>
              <c:numCache>
                <c:formatCode>0.0</c:formatCode>
                <c:ptCount val="2"/>
                <c:pt idx="0">
                  <c:v>0</c:v>
                </c:pt>
                <c:pt idx="1">
                  <c:v>1.0887781010324682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36960"/>
        <c:axId val="10493888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'200020G6'!$O$23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'200020G6'!$P$23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42976"/>
        <c:axId val="104941056"/>
      </c:scatterChart>
      <c:valAx>
        <c:axId val="10493696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938880"/>
        <c:crossesAt val="0"/>
        <c:crossBetween val="midCat"/>
        <c:majorUnit val="100"/>
        <c:minorUnit val="100"/>
      </c:valAx>
      <c:valAx>
        <c:axId val="104938880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936960"/>
        <c:crosses val="autoZero"/>
        <c:crossBetween val="midCat"/>
        <c:majorUnit val="1"/>
        <c:minorUnit val="1"/>
      </c:valAx>
      <c:valAx>
        <c:axId val="104941056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942976"/>
        <c:crosses val="max"/>
        <c:crossBetween val="midCat"/>
        <c:majorUnit val="1"/>
      </c:valAx>
      <c:valAx>
        <c:axId val="10494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941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'200031G1'!$O$1:$O$2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'200031G1'!$P$1:$P$2</c:f>
              <c:numCache>
                <c:formatCode>General</c:formatCode>
                <c:ptCount val="2"/>
                <c:pt idx="0">
                  <c:v>0</c:v>
                </c:pt>
                <c:pt idx="1">
                  <c:v>313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'200031G1'!$O$3:$O$5</c:f>
              <c:numCache>
                <c:formatCode>General</c:formatCode>
                <c:ptCount val="3"/>
                <c:pt idx="0">
                  <c:v>20.732027532187317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'200031G1'!$P$3:$P$5</c:f>
              <c:numCache>
                <c:formatCode>General</c:formatCode>
                <c:ptCount val="3"/>
                <c:pt idx="0">
                  <c:v>0</c:v>
                </c:pt>
                <c:pt idx="1">
                  <c:v>228.26087538242538</c:v>
                </c:pt>
                <c:pt idx="2">
                  <c:v>307.23119624292667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'200031G1'!$O$7:$O$8</c:f>
              <c:numCache>
                <c:formatCode>General</c:formatCode>
                <c:ptCount val="2"/>
                <c:pt idx="0">
                  <c:v>16.090662391398496</c:v>
                </c:pt>
                <c:pt idx="1">
                  <c:v>1000</c:v>
                </c:pt>
              </c:numCache>
            </c:numRef>
          </c:xVal>
          <c:yVal>
            <c:numRef>
              <c:f>'200031G1'!$P$7:$P$8</c:f>
              <c:numCache>
                <c:formatCode>General</c:formatCode>
                <c:ptCount val="2"/>
                <c:pt idx="0">
                  <c:v>0</c:v>
                </c:pt>
                <c:pt idx="1">
                  <c:v>307.96362267149226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'200031G1'!$O$6</c:f>
              <c:numCache>
                <c:formatCode>0</c:formatCode>
                <c:ptCount val="1"/>
                <c:pt idx="0">
                  <c:v>227</c:v>
                </c:pt>
              </c:numCache>
            </c:numRef>
          </c:xVal>
          <c:yVal>
            <c:numRef>
              <c:f>'200031G1'!$P$6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33472"/>
        <c:axId val="10463539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'200031G1'!$O$9:$O$10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'200031G1'!$P$9:$P$10</c:f>
              <c:numCache>
                <c:formatCode>General</c:formatCode>
                <c:ptCount val="2"/>
                <c:pt idx="0">
                  <c:v>0</c:v>
                </c:pt>
                <c:pt idx="1">
                  <c:v>68.850344427697465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49856"/>
        <c:axId val="104651392"/>
      </c:scatterChart>
      <c:valAx>
        <c:axId val="104633472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635392"/>
        <c:crossesAt val="0"/>
        <c:crossBetween val="midCat"/>
        <c:majorUnit val="100"/>
      </c:valAx>
      <c:valAx>
        <c:axId val="104635392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633472"/>
        <c:crosses val="autoZero"/>
        <c:crossBetween val="midCat"/>
        <c:majorUnit val="50"/>
        <c:minorUnit val="10"/>
      </c:valAx>
      <c:valAx>
        <c:axId val="10464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651392"/>
        <c:crosses val="autoZero"/>
        <c:crossBetween val="midCat"/>
      </c:valAx>
      <c:valAx>
        <c:axId val="104651392"/>
        <c:scaling>
          <c:orientation val="minMax"/>
          <c:max val="92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4649856"/>
        <c:crosses val="max"/>
        <c:crossBetween val="midCat"/>
        <c:majorUnit val="1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'100005G3'!$O$1:$O$2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'100005G3'!$P$1:$P$2</c:f>
              <c:numCache>
                <c:formatCode>General</c:formatCode>
                <c:ptCount val="2"/>
                <c:pt idx="0">
                  <c:v>0</c:v>
                </c:pt>
                <c:pt idx="1">
                  <c:v>64.400000000000006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'100005G3'!$O$3:$O$5</c:f>
              <c:numCache>
                <c:formatCode>General</c:formatCode>
                <c:ptCount val="3"/>
                <c:pt idx="0">
                  <c:v>210.46426796841445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'100005G3'!$P$3:$P$5</c:f>
              <c:numCache>
                <c:formatCode>General</c:formatCode>
                <c:ptCount val="3"/>
                <c:pt idx="0">
                  <c:v>0</c:v>
                </c:pt>
                <c:pt idx="1">
                  <c:v>36.318643673452932</c:v>
                </c:pt>
                <c:pt idx="2">
                  <c:v>56.455271620903076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'100005G3'!$O$7:$O$8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'100005G3'!$P$7:$P$8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'100005G3'!$O$6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'100005G3'!$P$6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40128"/>
        <c:axId val="10104204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'100005G3'!$O$9:$O$10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'100005G3'!$P$9:$P$10</c:f>
              <c:numCache>
                <c:formatCode>General</c:formatCode>
                <c:ptCount val="2"/>
                <c:pt idx="0">
                  <c:v>0</c:v>
                </c:pt>
                <c:pt idx="1">
                  <c:v>14.166013358286635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44224"/>
        <c:axId val="101045760"/>
      </c:scatterChart>
      <c:valAx>
        <c:axId val="10104012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1042048"/>
        <c:crossesAt val="0"/>
        <c:crossBetween val="midCat"/>
        <c:majorUnit val="200"/>
      </c:valAx>
      <c:valAx>
        <c:axId val="101042048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1040128"/>
        <c:crosses val="autoZero"/>
        <c:crossBetween val="midCat"/>
        <c:majorUnit val="10"/>
        <c:minorUnit val="10"/>
      </c:valAx>
      <c:valAx>
        <c:axId val="1010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1045760"/>
        <c:crosses val="autoZero"/>
        <c:crossBetween val="midCat"/>
      </c:valAx>
      <c:valAx>
        <c:axId val="101045760"/>
        <c:scaling>
          <c:orientation val="minMax"/>
          <c:max val="18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1044224"/>
        <c:crosses val="max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'200031G1'!$O$41</c:f>
              <c:numCache>
                <c:formatCode>0</c:formatCode>
                <c:ptCount val="1"/>
                <c:pt idx="0">
                  <c:v>227</c:v>
                </c:pt>
              </c:numCache>
            </c:numRef>
          </c:xVal>
          <c:yVal>
            <c:numRef>
              <c:f>'200031G1'!$P$42</c:f>
              <c:numCache>
                <c:formatCode>0.00</c:formatCode>
                <c:ptCount val="1"/>
                <c:pt idx="0">
                  <c:v>1.8454750622914395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2.972609762804443</c:v>
              </c:pt>
              <c:pt idx="1">
                <c:v>4.2735284672078979</c:v>
              </c:pt>
              <c:pt idx="2">
                <c:v>5.9461382300123402</c:v>
              </c:pt>
              <c:pt idx="3">
                <c:v>7.9904390512177708</c:v>
              </c:pt>
              <c:pt idx="4">
                <c:v>10.406430930824341</c:v>
              </c:pt>
              <c:pt idx="5">
                <c:v>13.194113868831501</c:v>
              </c:pt>
              <c:pt idx="6">
                <c:v>16.35348786523998</c:v>
              </c:pt>
              <c:pt idx="7">
                <c:v>19.884552920049359</c:v>
              </c:pt>
              <c:pt idx="8">
                <c:v>23.787309033259689</c:v>
              </c:pt>
              <c:pt idx="9">
                <c:v>28.061756204870981</c:v>
              </c:pt>
              <c:pt idx="10">
                <c:v>32.707894434883237</c:v>
              </c:pt>
              <c:pt idx="11">
                <c:v>37.725723723296753</c:v>
              </c:pt>
              <c:pt idx="12">
                <c:v>43.115244070111054</c:v>
              </c:pt>
              <c:pt idx="13">
                <c:v>48.876455475325997</c:v>
              </c:pt>
              <c:pt idx="14">
                <c:v>55.009357938942657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1.5641831779362869</c:v>
              </c:pt>
              <c:pt idx="1">
                <c:v>1.769658982997824</c:v>
              </c:pt>
              <c:pt idx="2">
                <c:v>2.033842160934078</c:v>
              </c:pt>
              <c:pt idx="3">
                <c:v>2.3567327117451029</c:v>
              </c:pt>
              <c:pt idx="4">
                <c:v>2.738330635430835</c:v>
              </c:pt>
              <c:pt idx="5">
                <c:v>3.1786359319912951</c:v>
              </c:pt>
              <c:pt idx="6">
                <c:v>3.677648601426482</c:v>
              </c:pt>
              <c:pt idx="7">
                <c:v>4.2353686437364004</c:v>
              </c:pt>
              <c:pt idx="8">
                <c:v>4.8517960589210416</c:v>
              </c:pt>
              <c:pt idx="9">
                <c:v>5.5269308469803526</c:v>
              </c:pt>
              <c:pt idx="10">
                <c:v>6.2607730079145121</c:v>
              </c:pt>
              <c:pt idx="11">
                <c:v>7.0533225417233414</c:v>
              </c:pt>
              <c:pt idx="12">
                <c:v>7.9045794484068947</c:v>
              </c:pt>
              <c:pt idx="13">
                <c:v>8.8145437279651784</c:v>
              </c:pt>
              <c:pt idx="14">
                <c:v>9.7832153803980901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2.3130756155655181</c:v>
              </c:pt>
              <c:pt idx="1">
                <c:v>3.1010233165609442</c:v>
              </c:pt>
              <c:pt idx="2">
                <c:v>4.1140989321264234</c:v>
              </c:pt>
              <c:pt idx="3">
                <c:v>5.35230246226212</c:v>
              </c:pt>
              <c:pt idx="4">
                <c:v>6.8156339069678848</c:v>
              </c:pt>
              <c:pt idx="5">
                <c:v>8.5040932662437676</c:v>
              </c:pt>
              <c:pt idx="6">
                <c:v>10.41768054008978</c:v>
              </c:pt>
              <c:pt idx="7">
                <c:v>12.556395728505899</c:v>
              </c:pt>
              <c:pt idx="8">
                <c:v>14.920238831492121</c:v>
              </c:pt>
              <c:pt idx="9">
                <c:v>17.509209849048482</c:v>
              </c:pt>
              <c:pt idx="10">
                <c:v>20.32330878117493</c:v>
              </c:pt>
              <c:pt idx="11">
                <c:v>23.36253562787153</c:v>
              </c:pt>
              <c:pt idx="12">
                <c:v>26.62689038913825</c:v>
              </c:pt>
              <c:pt idx="13">
                <c:v>30.116373064975079</c:v>
              </c:pt>
              <c:pt idx="14">
                <c:v>33.830983655381708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1.5041469649794521</c:v>
              </c:pt>
              <c:pt idx="1">
                <c:v>1.6629279377412569</c:v>
              </c:pt>
              <c:pt idx="2">
                <c:v>1.8670749027206961</c:v>
              </c:pt>
              <c:pt idx="3">
                <c:v>2.1165878599178032</c:v>
              </c:pt>
              <c:pt idx="4">
                <c:v>2.4114668093325582</c:v>
              </c:pt>
              <c:pt idx="5">
                <c:v>2.7517117509650131</c:v>
              </c:pt>
              <c:pt idx="6">
                <c:v>3.1373226848150582</c:v>
              </c:pt>
              <c:pt idx="7">
                <c:v>3.5682996108827871</c:v>
              </c:pt>
              <c:pt idx="8">
                <c:v>4.044642529168172</c:v>
              </c:pt>
              <c:pt idx="9">
                <c:v>4.5663514396712106</c:v>
              </c:pt>
              <c:pt idx="10">
                <c:v>5.1334263423919104</c:v>
              </c:pt>
              <c:pt idx="11">
                <c:v>5.7458672373302608</c:v>
              </c:pt>
              <c:pt idx="12">
                <c:v>6.4036741244862734</c:v>
              </c:pt>
              <c:pt idx="13">
                <c:v>7.106847003859933</c:v>
              </c:pt>
              <c:pt idx="14">
                <c:v>7.8553858754512236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1.9342727205666861</c:v>
              </c:pt>
              <c:pt idx="1">
                <c:v>2.4275959476740852</c:v>
              </c:pt>
              <c:pt idx="2">
                <c:v>3.061868668240757</c:v>
              </c:pt>
              <c:pt idx="3">
                <c:v>3.8370908822666911</c:v>
              </c:pt>
              <c:pt idx="4">
                <c:v>4.7532625897519134</c:v>
              </c:pt>
              <c:pt idx="5">
                <c:v>5.8103837906963403</c:v>
              </c:pt>
              <c:pt idx="6">
                <c:v>7.0084544851000539</c:v>
              </c:pt>
              <c:pt idx="7">
                <c:v>8.3474746729630294</c:v>
              </c:pt>
              <c:pt idx="8">
                <c:v>9.8274443542853902</c:v>
              </c:pt>
              <c:pt idx="9">
                <c:v>11.448363529066761</c:v>
              </c:pt>
              <c:pt idx="10">
                <c:v>13.210232197307519</c:v>
              </c:pt>
              <c:pt idx="11">
                <c:v>15.11305035900755</c:v>
              </c:pt>
              <c:pt idx="12">
                <c:v>17.156818014166831</c:v>
              </c:pt>
              <c:pt idx="13">
                <c:v>19.341535162785359</c:v>
              </c:pt>
              <c:pt idx="14">
                <c:v>21.667201804863129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1.445491725307843</c:v>
              </c:pt>
              <c:pt idx="1">
                <c:v>1.5586519561028529</c:v>
              </c:pt>
              <c:pt idx="2">
                <c:v>1.704143681410708</c:v>
              </c:pt>
              <c:pt idx="3">
                <c:v>1.88196690123142</c:v>
              </c:pt>
              <c:pt idx="4">
                <c:v>2.0921216155649862</c:v>
              </c:pt>
              <c:pt idx="5">
                <c:v>2.3346078244114099</c:v>
              </c:pt>
              <c:pt idx="6">
                <c:v>2.609425527770691</c:v>
              </c:pt>
              <c:pt idx="7">
                <c:v>2.9165747256428292</c:v>
              </c:pt>
              <c:pt idx="8">
                <c:v>3.2560554180278172</c:v>
              </c:pt>
              <c:pt idx="9">
                <c:v>3.6278676049256742</c:v>
              </c:pt>
              <c:pt idx="10">
                <c:v>4.0320112863363784</c:v>
              </c:pt>
              <c:pt idx="11">
                <c:v>4.4684864622599436</c:v>
              </c:pt>
              <c:pt idx="12">
                <c:v>4.9372931326964133</c:v>
              </c:pt>
              <c:pt idx="13">
                <c:v>5.4384312976456419</c:v>
              </c:pt>
              <c:pt idx="14">
                <c:v>5.971900957107775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1.6687122959517451</c:v>
              </c:pt>
              <c:pt idx="1">
                <c:v>1.9554885261364321</c:v>
              </c:pt>
              <c:pt idx="2">
                <c:v>2.3242008220881551</c:v>
              </c:pt>
              <c:pt idx="3">
                <c:v>2.7748491838069431</c:v>
              </c:pt>
              <c:pt idx="4">
                <c:v>3.307433611292784</c:v>
              </c:pt>
              <c:pt idx="5">
                <c:v>3.9219541045456769</c:v>
              </c:pt>
              <c:pt idx="6">
                <c:v>4.6184106635655704</c:v>
              </c:pt>
              <c:pt idx="7">
                <c:v>5.3968032883526416</c:v>
              </c:pt>
              <c:pt idx="8">
                <c:v>6.257131978906628</c:v>
              </c:pt>
              <c:pt idx="9">
                <c:v>7.1993967352277783</c:v>
              </c:pt>
              <c:pt idx="10">
                <c:v>8.2235975573159568</c:v>
              </c:pt>
              <c:pt idx="11">
                <c:v>9.3297344451711375</c:v>
              </c:pt>
              <c:pt idx="12">
                <c:v>10.5178073987934</c:v>
              </c:pt>
              <c:pt idx="13">
                <c:v>11.78781641818272</c:v>
              </c:pt>
              <c:pt idx="14">
                <c:v>13.13976150333907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1.423699003286508</c:v>
              </c:pt>
              <c:pt idx="1">
                <c:v>1.5199093391760159</c:v>
              </c:pt>
              <c:pt idx="2">
                <c:v>1.643608342462525</c:v>
              </c:pt>
              <c:pt idx="3">
                <c:v>1.7947960131460361</c:v>
              </c:pt>
              <c:pt idx="4">
                <c:v>1.973472351226558</c:v>
              </c:pt>
              <c:pt idx="5">
                <c:v>2.179637356704065</c:v>
              </c:pt>
              <c:pt idx="6">
                <c:v>2.4132910295785801</c:v>
              </c:pt>
              <c:pt idx="7">
                <c:v>2.6744333698501008</c:v>
              </c:pt>
              <c:pt idx="8">
                <c:v>2.9630643775186232</c:v>
              </c:pt>
              <c:pt idx="9">
                <c:v>3.279184052584168</c:v>
              </c:pt>
              <c:pt idx="10">
                <c:v>3.6227923950466709</c:v>
              </c:pt>
              <c:pt idx="11">
                <c:v>3.9938894049061981</c:v>
              </c:pt>
              <c:pt idx="12">
                <c:v>4.3924750821627274</c:v>
              </c:pt>
              <c:pt idx="13">
                <c:v>4.8185494268162437</c:v>
              </c:pt>
              <c:pt idx="14">
                <c:v>5.2721124388667846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08736"/>
        <c:axId val="10472320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01024"/>
        <c:axId val="104725120"/>
      </c:scatterChart>
      <c:valAx>
        <c:axId val="104708736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723200"/>
        <c:crosses val="autoZero"/>
        <c:crossBetween val="midCat"/>
        <c:majorUnit val="100"/>
      </c:valAx>
      <c:valAx>
        <c:axId val="1047232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708736"/>
        <c:crosses val="autoZero"/>
        <c:crossBetween val="midCat"/>
        <c:majorUnit val="1"/>
      </c:valAx>
      <c:valAx>
        <c:axId val="10472512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4801024"/>
        <c:crosses val="max"/>
        <c:crossBetween val="midCat"/>
      </c:valAx>
      <c:valAx>
        <c:axId val="104801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72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'200031G2'!$N$28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'200031G2'!$N$30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'200031G2'!$Q$29:$Q$30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'200031G2'!$N$32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'200031G2'!$Q$31:$Q$32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'200031G2'!$N$34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'200031G2'!$Q$33:$Q$34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'200031G2'!$N$36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'200031G2'!$Q$35:$Q$36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'200031G2'!$N$38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'200031G2'!$Q$37:$Q$38</c:f>
              <c:numCache>
                <c:formatCode>0</c:formatCode>
                <c:ptCount val="2"/>
                <c:pt idx="0">
                  <c:v>20.732027532187256</c:v>
                </c:pt>
                <c:pt idx="1">
                  <c:v>750</c:v>
                </c:pt>
              </c:numCache>
            </c:numRef>
          </c:xVal>
          <c:yVal>
            <c:numRef>
              <c:f>'200031G2'!$R$37:$R$38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228.26087538242538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49472"/>
        <c:axId val="10506803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'200031G2'!$P$36</c:f>
              <c:numCache>
                <c:formatCode>0.0</c:formatCode>
                <c:ptCount val="1"/>
                <c:pt idx="0">
                  <c:v>4.3945170575404084</c:v>
                </c:pt>
              </c:numCache>
            </c:numRef>
          </c:xVal>
          <c:yVal>
            <c:numRef>
              <c:f>'200031G2'!$P$22</c:f>
              <c:numCache>
                <c:formatCode>0.00</c:formatCode>
                <c:ptCount val="1"/>
                <c:pt idx="0">
                  <c:v>92.460213049464627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76224"/>
        <c:axId val="105069952"/>
      </c:scatterChart>
      <c:valAx>
        <c:axId val="105049472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068032"/>
        <c:crossesAt val="0"/>
        <c:crossBetween val="midCat"/>
        <c:majorUnit val="100"/>
        <c:minorUnit val="100"/>
      </c:valAx>
      <c:valAx>
        <c:axId val="105068032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049472"/>
        <c:crosses val="autoZero"/>
        <c:crossBetween val="midCat"/>
        <c:majorUnit val="50"/>
        <c:minorUnit val="1"/>
      </c:valAx>
      <c:valAx>
        <c:axId val="105069952"/>
        <c:scaling>
          <c:orientation val="minMax"/>
          <c:max val="92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076224"/>
        <c:crosses val="max"/>
        <c:crossBetween val="midCat"/>
        <c:majorUnit val="15"/>
      </c:valAx>
      <c:valAx>
        <c:axId val="10507622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50699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'200031G2'!$N$37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'200031G2'!$O$37:$O$38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'200031G2'!$P$37:$P$38</c:f>
              <c:numCache>
                <c:formatCode>0.0</c:formatCode>
                <c:ptCount val="2"/>
                <c:pt idx="0">
                  <c:v>0</c:v>
                </c:pt>
                <c:pt idx="1">
                  <c:v>4.1879377931553057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'200031G2'!$N$35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'200031G2'!$O$35:$O$36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'200031G2'!$P$35:$P$36</c:f>
              <c:numCache>
                <c:formatCode>0.0</c:formatCode>
                <c:ptCount val="2"/>
                <c:pt idx="0">
                  <c:v>0</c:v>
                </c:pt>
                <c:pt idx="1">
                  <c:v>4.3945170575404084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'200031G2'!$N$33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'200031G2'!$O$33:$O$34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'200031G2'!$P$33:$P$34</c:f>
              <c:numCache>
                <c:formatCode>0.0</c:formatCode>
                <c:ptCount val="2"/>
                <c:pt idx="0">
                  <c:v>0</c:v>
                </c:pt>
                <c:pt idx="1">
                  <c:v>3.2051170575404084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'200031G2'!$N$31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'200031G2'!$O$31:$O$32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'200031G2'!$P$31:$P$32</c:f>
              <c:numCache>
                <c:formatCode>0.0</c:formatCode>
                <c:ptCount val="2"/>
                <c:pt idx="0">
                  <c:v>0</c:v>
                </c:pt>
                <c:pt idx="1">
                  <c:v>2.6104170575404084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'200031G2'!$N$29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'200031G2'!$O$29:$O$30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'200031G2'!$P$29:$P$30</c:f>
              <c:numCache>
                <c:formatCode>0.0</c:formatCode>
                <c:ptCount val="2"/>
                <c:pt idx="0">
                  <c:v>0</c:v>
                </c:pt>
                <c:pt idx="1">
                  <c:v>2.0157170575404084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'200031G2'!$N$27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'200031G2'!$P$27:$P$28</c:f>
              <c:numCache>
                <c:formatCode>0.0</c:formatCode>
                <c:ptCount val="2"/>
                <c:pt idx="0">
                  <c:v>0</c:v>
                </c:pt>
                <c:pt idx="1">
                  <c:v>1.4210170575404084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18720"/>
        <c:axId val="10513318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'200031G2'!$P$23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37280"/>
        <c:axId val="105135104"/>
      </c:scatterChart>
      <c:valAx>
        <c:axId val="10511872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133184"/>
        <c:crossesAt val="0"/>
        <c:crossBetween val="midCat"/>
        <c:majorUnit val="100"/>
        <c:minorUnit val="100"/>
      </c:valAx>
      <c:valAx>
        <c:axId val="105133184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118720"/>
        <c:crosses val="autoZero"/>
        <c:crossBetween val="midCat"/>
        <c:majorUnit val="1"/>
        <c:minorUnit val="1"/>
      </c:valAx>
      <c:valAx>
        <c:axId val="105135104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137280"/>
        <c:crosses val="max"/>
        <c:crossBetween val="midCat"/>
        <c:majorUnit val="1"/>
      </c:valAx>
      <c:valAx>
        <c:axId val="10513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1351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'200031G3'!$O$1:$O$2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'200031G3'!$P$1:$P$2</c:f>
              <c:numCache>
                <c:formatCode>General</c:formatCode>
                <c:ptCount val="2"/>
                <c:pt idx="0">
                  <c:v>0</c:v>
                </c:pt>
                <c:pt idx="1">
                  <c:v>313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'200031G3'!$O$3:$O$5</c:f>
              <c:numCache>
                <c:formatCode>General</c:formatCode>
                <c:ptCount val="3"/>
                <c:pt idx="0">
                  <c:v>84.629791110462065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'200031G3'!$P$3:$P$5</c:f>
              <c:numCache>
                <c:formatCode>General</c:formatCode>
                <c:ptCount val="3"/>
                <c:pt idx="0">
                  <c:v>0</c:v>
                </c:pt>
                <c:pt idx="1">
                  <c:v>208.26087538242538</c:v>
                </c:pt>
                <c:pt idx="2">
                  <c:v>290.37405338578384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'200031G3'!$O$7:$O$8</c:f>
              <c:numCache>
                <c:formatCode>General</c:formatCode>
                <c:ptCount val="2"/>
                <c:pt idx="0">
                  <c:v>18.045524531556111</c:v>
                </c:pt>
                <c:pt idx="1">
                  <c:v>1000</c:v>
                </c:pt>
              </c:numCache>
            </c:numRef>
          </c:xVal>
          <c:yVal>
            <c:numRef>
              <c:f>'200031G3'!$P$7:$P$8</c:f>
              <c:numCache>
                <c:formatCode>General</c:formatCode>
                <c:ptCount val="2"/>
                <c:pt idx="0">
                  <c:v>0</c:v>
                </c:pt>
                <c:pt idx="1">
                  <c:v>307.35175082162294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'200031G3'!$O$6</c:f>
              <c:numCache>
                <c:formatCode>0</c:formatCode>
                <c:ptCount val="1"/>
                <c:pt idx="0">
                  <c:v>229</c:v>
                </c:pt>
              </c:numCache>
            </c:numRef>
          </c:xVal>
          <c:yVal>
            <c:numRef>
              <c:f>'200031G3'!$P$6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37120"/>
        <c:axId val="105239296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'200031G3'!$O$9:$O$10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'200031G3'!$P$9:$P$10</c:f>
              <c:numCache>
                <c:formatCode>General</c:formatCode>
                <c:ptCount val="2"/>
                <c:pt idx="0">
                  <c:v>0</c:v>
                </c:pt>
                <c:pt idx="1">
                  <c:v>68.850344427697465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41216"/>
        <c:axId val="105726336"/>
      </c:scatterChart>
      <c:valAx>
        <c:axId val="10523712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239296"/>
        <c:crossesAt val="0"/>
        <c:crossBetween val="midCat"/>
        <c:majorUnit val="100"/>
      </c:valAx>
      <c:valAx>
        <c:axId val="105239296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237120"/>
        <c:crosses val="autoZero"/>
        <c:crossBetween val="midCat"/>
        <c:majorUnit val="50"/>
        <c:minorUnit val="10"/>
      </c:valAx>
      <c:valAx>
        <c:axId val="10524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726336"/>
        <c:crosses val="autoZero"/>
        <c:crossBetween val="midCat"/>
      </c:valAx>
      <c:valAx>
        <c:axId val="105726336"/>
        <c:scaling>
          <c:orientation val="minMax"/>
          <c:max val="92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241216"/>
        <c:crosses val="max"/>
        <c:crossBetween val="midCat"/>
        <c:majorUnit val="1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'200031G3'!$O$41</c:f>
              <c:numCache>
                <c:formatCode>0</c:formatCode>
                <c:ptCount val="1"/>
                <c:pt idx="0">
                  <c:v>229</c:v>
                </c:pt>
              </c:numCache>
            </c:numRef>
          </c:xVal>
          <c:yVal>
            <c:numRef>
              <c:f>'200031G3'!$P$42</c:f>
              <c:numCache>
                <c:formatCode>0.00</c:formatCode>
                <c:ptCount val="1"/>
                <c:pt idx="0">
                  <c:v>1.8495317279839552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2.972609762804443</c:v>
              </c:pt>
              <c:pt idx="1">
                <c:v>4.2735284672078979</c:v>
              </c:pt>
              <c:pt idx="2">
                <c:v>5.9461382300123402</c:v>
              </c:pt>
              <c:pt idx="3">
                <c:v>7.9904390512177708</c:v>
              </c:pt>
              <c:pt idx="4">
                <c:v>10.406430930824341</c:v>
              </c:pt>
              <c:pt idx="5">
                <c:v>13.194113868831501</c:v>
              </c:pt>
              <c:pt idx="6">
                <c:v>16.35348786523998</c:v>
              </c:pt>
              <c:pt idx="7">
                <c:v>19.884552920049359</c:v>
              </c:pt>
              <c:pt idx="8">
                <c:v>23.787309033259689</c:v>
              </c:pt>
              <c:pt idx="9">
                <c:v>28.061756204870981</c:v>
              </c:pt>
              <c:pt idx="10">
                <c:v>32.707894434883237</c:v>
              </c:pt>
              <c:pt idx="11">
                <c:v>37.725723723296753</c:v>
              </c:pt>
              <c:pt idx="12">
                <c:v>43.115244070111054</c:v>
              </c:pt>
              <c:pt idx="13">
                <c:v>48.876455475325997</c:v>
              </c:pt>
              <c:pt idx="14">
                <c:v>55.009357938942657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1.5641831779362869</c:v>
              </c:pt>
              <c:pt idx="1">
                <c:v>1.769658982997824</c:v>
              </c:pt>
              <c:pt idx="2">
                <c:v>2.033842160934078</c:v>
              </c:pt>
              <c:pt idx="3">
                <c:v>2.3567327117451029</c:v>
              </c:pt>
              <c:pt idx="4">
                <c:v>2.738330635430835</c:v>
              </c:pt>
              <c:pt idx="5">
                <c:v>3.1786359319912951</c:v>
              </c:pt>
              <c:pt idx="6">
                <c:v>3.677648601426482</c:v>
              </c:pt>
              <c:pt idx="7">
                <c:v>4.2353686437364004</c:v>
              </c:pt>
              <c:pt idx="8">
                <c:v>4.8517960589210416</c:v>
              </c:pt>
              <c:pt idx="9">
                <c:v>5.5269308469803526</c:v>
              </c:pt>
              <c:pt idx="10">
                <c:v>6.2607730079145121</c:v>
              </c:pt>
              <c:pt idx="11">
                <c:v>7.0533225417233414</c:v>
              </c:pt>
              <c:pt idx="12">
                <c:v>7.9045794484068947</c:v>
              </c:pt>
              <c:pt idx="13">
                <c:v>8.8145437279651784</c:v>
              </c:pt>
              <c:pt idx="14">
                <c:v>9.7832153803980901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2.3130756155655181</c:v>
              </c:pt>
              <c:pt idx="1">
                <c:v>3.1010233165609442</c:v>
              </c:pt>
              <c:pt idx="2">
                <c:v>4.1140989321264234</c:v>
              </c:pt>
              <c:pt idx="3">
                <c:v>5.35230246226212</c:v>
              </c:pt>
              <c:pt idx="4">
                <c:v>6.8156339069678848</c:v>
              </c:pt>
              <c:pt idx="5">
                <c:v>8.5040932662437676</c:v>
              </c:pt>
              <c:pt idx="6">
                <c:v>10.41768054008978</c:v>
              </c:pt>
              <c:pt idx="7">
                <c:v>12.556395728505899</c:v>
              </c:pt>
              <c:pt idx="8">
                <c:v>14.920238831492121</c:v>
              </c:pt>
              <c:pt idx="9">
                <c:v>17.509209849048482</c:v>
              </c:pt>
              <c:pt idx="10">
                <c:v>20.32330878117493</c:v>
              </c:pt>
              <c:pt idx="11">
                <c:v>23.36253562787153</c:v>
              </c:pt>
              <c:pt idx="12">
                <c:v>26.62689038913825</c:v>
              </c:pt>
              <c:pt idx="13">
                <c:v>30.116373064975079</c:v>
              </c:pt>
              <c:pt idx="14">
                <c:v>33.830983655381708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1.5041469649794521</c:v>
              </c:pt>
              <c:pt idx="1">
                <c:v>1.6629279377412569</c:v>
              </c:pt>
              <c:pt idx="2">
                <c:v>1.8670749027206961</c:v>
              </c:pt>
              <c:pt idx="3">
                <c:v>2.1165878599178032</c:v>
              </c:pt>
              <c:pt idx="4">
                <c:v>2.4114668093325582</c:v>
              </c:pt>
              <c:pt idx="5">
                <c:v>2.7517117509650131</c:v>
              </c:pt>
              <c:pt idx="6">
                <c:v>3.1373226848150582</c:v>
              </c:pt>
              <c:pt idx="7">
                <c:v>3.5682996108827871</c:v>
              </c:pt>
              <c:pt idx="8">
                <c:v>4.044642529168172</c:v>
              </c:pt>
              <c:pt idx="9">
                <c:v>4.5663514396712106</c:v>
              </c:pt>
              <c:pt idx="10">
                <c:v>5.1334263423919104</c:v>
              </c:pt>
              <c:pt idx="11">
                <c:v>5.7458672373302608</c:v>
              </c:pt>
              <c:pt idx="12">
                <c:v>6.4036741244862734</c:v>
              </c:pt>
              <c:pt idx="13">
                <c:v>7.106847003859933</c:v>
              </c:pt>
              <c:pt idx="14">
                <c:v>7.8553858754512236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1.9342727205666861</c:v>
              </c:pt>
              <c:pt idx="1">
                <c:v>2.4275959476740852</c:v>
              </c:pt>
              <c:pt idx="2">
                <c:v>3.061868668240757</c:v>
              </c:pt>
              <c:pt idx="3">
                <c:v>3.8370908822666911</c:v>
              </c:pt>
              <c:pt idx="4">
                <c:v>4.7532625897519134</c:v>
              </c:pt>
              <c:pt idx="5">
                <c:v>5.8103837906963403</c:v>
              </c:pt>
              <c:pt idx="6">
                <c:v>7.0084544851000539</c:v>
              </c:pt>
              <c:pt idx="7">
                <c:v>8.3474746729630294</c:v>
              </c:pt>
              <c:pt idx="8">
                <c:v>9.8274443542853902</c:v>
              </c:pt>
              <c:pt idx="9">
                <c:v>11.448363529066761</c:v>
              </c:pt>
              <c:pt idx="10">
                <c:v>13.210232197307519</c:v>
              </c:pt>
              <c:pt idx="11">
                <c:v>15.11305035900755</c:v>
              </c:pt>
              <c:pt idx="12">
                <c:v>17.156818014166831</c:v>
              </c:pt>
              <c:pt idx="13">
                <c:v>19.341535162785359</c:v>
              </c:pt>
              <c:pt idx="14">
                <c:v>21.667201804863129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1.445491725307843</c:v>
              </c:pt>
              <c:pt idx="1">
                <c:v>1.5586519561028529</c:v>
              </c:pt>
              <c:pt idx="2">
                <c:v>1.704143681410708</c:v>
              </c:pt>
              <c:pt idx="3">
                <c:v>1.88196690123142</c:v>
              </c:pt>
              <c:pt idx="4">
                <c:v>2.0921216155649862</c:v>
              </c:pt>
              <c:pt idx="5">
                <c:v>2.3346078244114099</c:v>
              </c:pt>
              <c:pt idx="6">
                <c:v>2.609425527770691</c:v>
              </c:pt>
              <c:pt idx="7">
                <c:v>2.9165747256428292</c:v>
              </c:pt>
              <c:pt idx="8">
                <c:v>3.2560554180278172</c:v>
              </c:pt>
              <c:pt idx="9">
                <c:v>3.6278676049256742</c:v>
              </c:pt>
              <c:pt idx="10">
                <c:v>4.0320112863363784</c:v>
              </c:pt>
              <c:pt idx="11">
                <c:v>4.4684864622599436</c:v>
              </c:pt>
              <c:pt idx="12">
                <c:v>4.9372931326964133</c:v>
              </c:pt>
              <c:pt idx="13">
                <c:v>5.4384312976456419</c:v>
              </c:pt>
              <c:pt idx="14">
                <c:v>5.971900957107775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1.6687122959517451</c:v>
              </c:pt>
              <c:pt idx="1">
                <c:v>1.9554885261364321</c:v>
              </c:pt>
              <c:pt idx="2">
                <c:v>2.3242008220881551</c:v>
              </c:pt>
              <c:pt idx="3">
                <c:v>2.7748491838069431</c:v>
              </c:pt>
              <c:pt idx="4">
                <c:v>3.307433611292784</c:v>
              </c:pt>
              <c:pt idx="5">
                <c:v>3.9219541045456769</c:v>
              </c:pt>
              <c:pt idx="6">
                <c:v>4.6184106635655704</c:v>
              </c:pt>
              <c:pt idx="7">
                <c:v>5.3968032883526416</c:v>
              </c:pt>
              <c:pt idx="8">
                <c:v>6.257131978906628</c:v>
              </c:pt>
              <c:pt idx="9">
                <c:v>7.1993967352277783</c:v>
              </c:pt>
              <c:pt idx="10">
                <c:v>8.2235975573159568</c:v>
              </c:pt>
              <c:pt idx="11">
                <c:v>9.3297344451711375</c:v>
              </c:pt>
              <c:pt idx="12">
                <c:v>10.5178073987934</c:v>
              </c:pt>
              <c:pt idx="13">
                <c:v>11.78781641818272</c:v>
              </c:pt>
              <c:pt idx="14">
                <c:v>13.13976150333907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1.423699003286508</c:v>
              </c:pt>
              <c:pt idx="1">
                <c:v>1.5199093391760159</c:v>
              </c:pt>
              <c:pt idx="2">
                <c:v>1.643608342462525</c:v>
              </c:pt>
              <c:pt idx="3">
                <c:v>1.7947960131460361</c:v>
              </c:pt>
              <c:pt idx="4">
                <c:v>1.973472351226558</c:v>
              </c:pt>
              <c:pt idx="5">
                <c:v>2.179637356704065</c:v>
              </c:pt>
              <c:pt idx="6">
                <c:v>2.4132910295785801</c:v>
              </c:pt>
              <c:pt idx="7">
                <c:v>2.6744333698501008</c:v>
              </c:pt>
              <c:pt idx="8">
                <c:v>2.9630643775186232</c:v>
              </c:pt>
              <c:pt idx="9">
                <c:v>3.279184052584168</c:v>
              </c:pt>
              <c:pt idx="10">
                <c:v>3.6227923950466709</c:v>
              </c:pt>
              <c:pt idx="11">
                <c:v>3.9938894049061981</c:v>
              </c:pt>
              <c:pt idx="12">
                <c:v>4.3924750821627274</c:v>
              </c:pt>
              <c:pt idx="13">
                <c:v>4.8185494268162437</c:v>
              </c:pt>
              <c:pt idx="14">
                <c:v>5.2721124388667846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91872"/>
        <c:axId val="10579379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06080"/>
        <c:axId val="105804160"/>
      </c:scatterChart>
      <c:valAx>
        <c:axId val="105791872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5793792"/>
        <c:crosses val="autoZero"/>
        <c:crossBetween val="midCat"/>
        <c:majorUnit val="100"/>
      </c:valAx>
      <c:valAx>
        <c:axId val="1057937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5791872"/>
        <c:crosses val="autoZero"/>
        <c:crossBetween val="midCat"/>
        <c:majorUnit val="1"/>
      </c:valAx>
      <c:valAx>
        <c:axId val="10580416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5806080"/>
        <c:crosses val="max"/>
        <c:crossBetween val="midCat"/>
      </c:valAx>
      <c:valAx>
        <c:axId val="10580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8041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'200031G4'!$N$28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'200031G4'!$N$30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'200031G4'!$Q$29:$Q$30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'200031G4'!$N$32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'200031G4'!$Q$31:$Q$32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'200031G4'!$N$34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'200031G4'!$Q$33:$Q$34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'200031G4'!$N$36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'200031G4'!$Q$35:$Q$36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'200031G4'!$N$38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'200031G4'!$Q$37:$Q$38</c:f>
              <c:numCache>
                <c:formatCode>0</c:formatCode>
                <c:ptCount val="2"/>
                <c:pt idx="0">
                  <c:v>84.629791110462008</c:v>
                </c:pt>
                <c:pt idx="1">
                  <c:v>750</c:v>
                </c:pt>
              </c:numCache>
            </c:numRef>
          </c:xVal>
          <c:yVal>
            <c:numRef>
              <c:f>'200031G4'!$R$37:$R$38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208.26087538242538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14528"/>
        <c:axId val="10621644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'200031G4'!$P$36</c:f>
              <c:numCache>
                <c:formatCode>0.0</c:formatCode>
                <c:ptCount val="1"/>
                <c:pt idx="0">
                  <c:v>4.3945170575404084</c:v>
                </c:pt>
              </c:numCache>
            </c:numRef>
          </c:xVal>
          <c:yVal>
            <c:numRef>
              <c:f>'200031G4'!$P$22</c:f>
              <c:numCache>
                <c:formatCode>0.00</c:formatCode>
                <c:ptCount val="1"/>
                <c:pt idx="0">
                  <c:v>92.460213049464627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47808"/>
        <c:axId val="105845888"/>
      </c:scatterChart>
      <c:valAx>
        <c:axId val="106214528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216448"/>
        <c:crossesAt val="0"/>
        <c:crossBetween val="midCat"/>
        <c:majorUnit val="100"/>
        <c:minorUnit val="100"/>
      </c:valAx>
      <c:valAx>
        <c:axId val="106216448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214528"/>
        <c:crosses val="autoZero"/>
        <c:crossBetween val="midCat"/>
        <c:majorUnit val="50"/>
        <c:minorUnit val="1"/>
      </c:valAx>
      <c:valAx>
        <c:axId val="105845888"/>
        <c:scaling>
          <c:orientation val="minMax"/>
          <c:max val="92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847808"/>
        <c:crosses val="max"/>
        <c:crossBetween val="midCat"/>
        <c:majorUnit val="15"/>
      </c:valAx>
      <c:valAx>
        <c:axId val="10584780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58458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23367228835979"/>
          <c:h val="0.37213943305056102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'200031G4'!$N$37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'200031G4'!$O$37:$O$38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'200031G4'!$P$37:$P$38</c:f>
              <c:numCache>
                <c:formatCode>0.0</c:formatCode>
                <c:ptCount val="2"/>
                <c:pt idx="0">
                  <c:v>0</c:v>
                </c:pt>
                <c:pt idx="1">
                  <c:v>4.1879377931553057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'200031G4'!$N$35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'200031G4'!$O$35:$O$36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'200031G4'!$P$35:$P$36</c:f>
              <c:numCache>
                <c:formatCode>0.0</c:formatCode>
                <c:ptCount val="2"/>
                <c:pt idx="0">
                  <c:v>0</c:v>
                </c:pt>
                <c:pt idx="1">
                  <c:v>4.3945170575404084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'200031G4'!$N$33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'200031G4'!$O$33:$O$34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'200031G4'!$P$33:$P$34</c:f>
              <c:numCache>
                <c:formatCode>0.0</c:formatCode>
                <c:ptCount val="2"/>
                <c:pt idx="0">
                  <c:v>0</c:v>
                </c:pt>
                <c:pt idx="1">
                  <c:v>3.2051170575404084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'200031G4'!$N$31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'200031G4'!$O$31:$O$32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'200031G4'!$P$31:$P$32</c:f>
              <c:numCache>
                <c:formatCode>0.0</c:formatCode>
                <c:ptCount val="2"/>
                <c:pt idx="0">
                  <c:v>0</c:v>
                </c:pt>
                <c:pt idx="1">
                  <c:v>2.6104170575404084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'200031G4'!$N$29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'200031G4'!$O$29:$O$30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'200031G4'!$P$29:$P$30</c:f>
              <c:numCache>
                <c:formatCode>0.0</c:formatCode>
                <c:ptCount val="2"/>
                <c:pt idx="0">
                  <c:v>0</c:v>
                </c:pt>
                <c:pt idx="1">
                  <c:v>2.0157170575404084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'200031G4'!$N$27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'200031G4'!$P$27:$P$28</c:f>
              <c:numCache>
                <c:formatCode>0.0</c:formatCode>
                <c:ptCount val="2"/>
                <c:pt idx="0">
                  <c:v>0</c:v>
                </c:pt>
                <c:pt idx="1">
                  <c:v>1.4210170575404084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98752"/>
        <c:axId val="10590067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'200031G4'!$P$23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21152"/>
        <c:axId val="105919232"/>
      </c:scatterChart>
      <c:valAx>
        <c:axId val="105898752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900672"/>
        <c:crossesAt val="0"/>
        <c:crossBetween val="midCat"/>
        <c:majorUnit val="100"/>
        <c:minorUnit val="100"/>
      </c:valAx>
      <c:valAx>
        <c:axId val="10590067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898752"/>
        <c:crosses val="autoZero"/>
        <c:crossBetween val="midCat"/>
        <c:majorUnit val="1"/>
        <c:minorUnit val="1"/>
      </c:valAx>
      <c:valAx>
        <c:axId val="105919232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5921152"/>
        <c:crosses val="max"/>
        <c:crossBetween val="midCat"/>
        <c:majorUnit val="1"/>
      </c:valAx>
      <c:valAx>
        <c:axId val="10592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9192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'200031G5'!$O$1:$O$2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'200031G5'!$P$1:$P$2</c:f>
              <c:numCache>
                <c:formatCode>General</c:formatCode>
                <c:ptCount val="2"/>
                <c:pt idx="0">
                  <c:v>0</c:v>
                </c:pt>
                <c:pt idx="1">
                  <c:v>313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'200031G5'!$O$3:$O$5</c:f>
              <c:numCache>
                <c:formatCode>General</c:formatCode>
                <c:ptCount val="3"/>
                <c:pt idx="0">
                  <c:v>154.9173310465643</c:v>
                </c:pt>
                <c:pt idx="1">
                  <c:v>750</c:v>
                </c:pt>
                <c:pt idx="2">
                  <c:v>1000</c:v>
                </c:pt>
              </c:numCache>
            </c:numRef>
          </c:xVal>
          <c:yVal>
            <c:numRef>
              <c:f>'200031G5'!$P$3:$P$5</c:f>
              <c:numCache>
                <c:formatCode>General</c:formatCode>
                <c:ptCount val="3"/>
                <c:pt idx="0">
                  <c:v>0</c:v>
                </c:pt>
                <c:pt idx="1">
                  <c:v>186.26087538242538</c:v>
                </c:pt>
                <c:pt idx="2">
                  <c:v>272.94548195721239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'200031G5'!$O$7:$O$8</c:f>
              <c:numCache>
                <c:formatCode>General</c:formatCode>
                <c:ptCount val="2"/>
                <c:pt idx="0">
                  <c:v>19.932977632397865</c:v>
                </c:pt>
                <c:pt idx="1">
                  <c:v>1000</c:v>
                </c:pt>
              </c:numCache>
            </c:numRef>
          </c:xVal>
          <c:yVal>
            <c:numRef>
              <c:f>'200031G5'!$P$7:$P$8</c:f>
              <c:numCache>
                <c:formatCode>General</c:formatCode>
                <c:ptCount val="2"/>
                <c:pt idx="0">
                  <c:v>0</c:v>
                </c:pt>
                <c:pt idx="1">
                  <c:v>306.76097800105947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'200031G5'!$O$6</c:f>
              <c:numCache>
                <c:formatCode>0</c:formatCode>
                <c:ptCount val="1"/>
                <c:pt idx="0">
                  <c:v>231</c:v>
                </c:pt>
              </c:numCache>
            </c:numRef>
          </c:xVal>
          <c:yVal>
            <c:numRef>
              <c:f>'200031G5'!$P$6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65888"/>
        <c:axId val="10536780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'200031G5'!$O$9:$O$10</c:f>
              <c:numCache>
                <c:formatCode>General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'200031G5'!$P$9:$P$10</c:f>
              <c:numCache>
                <c:formatCode>General</c:formatCode>
                <c:ptCount val="2"/>
                <c:pt idx="0">
                  <c:v>0</c:v>
                </c:pt>
                <c:pt idx="1">
                  <c:v>68.850344427697465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8176"/>
        <c:axId val="105379712"/>
      </c:scatterChart>
      <c:valAx>
        <c:axId val="105365888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367808"/>
        <c:crossesAt val="0"/>
        <c:crossBetween val="midCat"/>
        <c:majorUnit val="100"/>
      </c:valAx>
      <c:valAx>
        <c:axId val="105367808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365888"/>
        <c:crosses val="autoZero"/>
        <c:crossBetween val="midCat"/>
        <c:majorUnit val="50"/>
        <c:minorUnit val="10"/>
      </c:valAx>
      <c:valAx>
        <c:axId val="10537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379712"/>
        <c:crosses val="autoZero"/>
        <c:crossBetween val="midCat"/>
      </c:valAx>
      <c:valAx>
        <c:axId val="105379712"/>
        <c:scaling>
          <c:orientation val="minMax"/>
          <c:max val="92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378176"/>
        <c:crosses val="max"/>
        <c:crossBetween val="midCat"/>
        <c:majorUnit val="1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'200031G5'!$O$41</c:f>
              <c:numCache>
                <c:formatCode>0</c:formatCode>
                <c:ptCount val="1"/>
                <c:pt idx="0">
                  <c:v>231</c:v>
                </c:pt>
              </c:numCache>
            </c:numRef>
          </c:xVal>
          <c:yVal>
            <c:numRef>
              <c:f>'200031G5'!$P$42</c:f>
              <c:numCache>
                <c:formatCode>0.00</c:formatCode>
                <c:ptCount val="1"/>
                <c:pt idx="0">
                  <c:v>1.8534627689969119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2.972609762804443</c:v>
              </c:pt>
              <c:pt idx="1">
                <c:v>4.2735284672078979</c:v>
              </c:pt>
              <c:pt idx="2">
                <c:v>5.9461382300123402</c:v>
              </c:pt>
              <c:pt idx="3">
                <c:v>7.9904390512177708</c:v>
              </c:pt>
              <c:pt idx="4">
                <c:v>10.406430930824341</c:v>
              </c:pt>
              <c:pt idx="5">
                <c:v>13.194113868831501</c:v>
              </c:pt>
              <c:pt idx="6">
                <c:v>16.35348786523998</c:v>
              </c:pt>
              <c:pt idx="7">
                <c:v>19.884552920049359</c:v>
              </c:pt>
              <c:pt idx="8">
                <c:v>23.787309033259689</c:v>
              </c:pt>
              <c:pt idx="9">
                <c:v>28.061756204870981</c:v>
              </c:pt>
              <c:pt idx="10">
                <c:v>32.707894434883237</c:v>
              </c:pt>
              <c:pt idx="11">
                <c:v>37.725723723296753</c:v>
              </c:pt>
              <c:pt idx="12">
                <c:v>43.115244070111054</c:v>
              </c:pt>
              <c:pt idx="13">
                <c:v>48.876455475325997</c:v>
              </c:pt>
              <c:pt idx="14">
                <c:v>55.009357938942657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1.5641831779362869</c:v>
              </c:pt>
              <c:pt idx="1">
                <c:v>1.769658982997824</c:v>
              </c:pt>
              <c:pt idx="2">
                <c:v>2.033842160934078</c:v>
              </c:pt>
              <c:pt idx="3">
                <c:v>2.3567327117451029</c:v>
              </c:pt>
              <c:pt idx="4">
                <c:v>2.738330635430835</c:v>
              </c:pt>
              <c:pt idx="5">
                <c:v>3.1786359319912951</c:v>
              </c:pt>
              <c:pt idx="6">
                <c:v>3.677648601426482</c:v>
              </c:pt>
              <c:pt idx="7">
                <c:v>4.2353686437364004</c:v>
              </c:pt>
              <c:pt idx="8">
                <c:v>4.8517960589210416</c:v>
              </c:pt>
              <c:pt idx="9">
                <c:v>5.5269308469803526</c:v>
              </c:pt>
              <c:pt idx="10">
                <c:v>6.2607730079145121</c:v>
              </c:pt>
              <c:pt idx="11">
                <c:v>7.0533225417233414</c:v>
              </c:pt>
              <c:pt idx="12">
                <c:v>7.9045794484068947</c:v>
              </c:pt>
              <c:pt idx="13">
                <c:v>8.8145437279651784</c:v>
              </c:pt>
              <c:pt idx="14">
                <c:v>9.7832153803980901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2.3130756155655181</c:v>
              </c:pt>
              <c:pt idx="1">
                <c:v>3.1010233165609442</c:v>
              </c:pt>
              <c:pt idx="2">
                <c:v>4.1140989321264234</c:v>
              </c:pt>
              <c:pt idx="3">
                <c:v>5.35230246226212</c:v>
              </c:pt>
              <c:pt idx="4">
                <c:v>6.8156339069678848</c:v>
              </c:pt>
              <c:pt idx="5">
                <c:v>8.5040932662437676</c:v>
              </c:pt>
              <c:pt idx="6">
                <c:v>10.41768054008978</c:v>
              </c:pt>
              <c:pt idx="7">
                <c:v>12.556395728505899</c:v>
              </c:pt>
              <c:pt idx="8">
                <c:v>14.920238831492121</c:v>
              </c:pt>
              <c:pt idx="9">
                <c:v>17.509209849048482</c:v>
              </c:pt>
              <c:pt idx="10">
                <c:v>20.32330878117493</c:v>
              </c:pt>
              <c:pt idx="11">
                <c:v>23.36253562787153</c:v>
              </c:pt>
              <c:pt idx="12">
                <c:v>26.62689038913825</c:v>
              </c:pt>
              <c:pt idx="13">
                <c:v>30.116373064975079</c:v>
              </c:pt>
              <c:pt idx="14">
                <c:v>33.830983655381708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1.5041469649794521</c:v>
              </c:pt>
              <c:pt idx="1">
                <c:v>1.6629279377412569</c:v>
              </c:pt>
              <c:pt idx="2">
                <c:v>1.8670749027206961</c:v>
              </c:pt>
              <c:pt idx="3">
                <c:v>2.1165878599178032</c:v>
              </c:pt>
              <c:pt idx="4">
                <c:v>2.4114668093325582</c:v>
              </c:pt>
              <c:pt idx="5">
                <c:v>2.7517117509650131</c:v>
              </c:pt>
              <c:pt idx="6">
                <c:v>3.1373226848150582</c:v>
              </c:pt>
              <c:pt idx="7">
                <c:v>3.5682996108827871</c:v>
              </c:pt>
              <c:pt idx="8">
                <c:v>4.044642529168172</c:v>
              </c:pt>
              <c:pt idx="9">
                <c:v>4.5663514396712106</c:v>
              </c:pt>
              <c:pt idx="10">
                <c:v>5.1334263423919104</c:v>
              </c:pt>
              <c:pt idx="11">
                <c:v>5.7458672373302608</c:v>
              </c:pt>
              <c:pt idx="12">
                <c:v>6.4036741244862734</c:v>
              </c:pt>
              <c:pt idx="13">
                <c:v>7.106847003859933</c:v>
              </c:pt>
              <c:pt idx="14">
                <c:v>7.8553858754512236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1.9342727205666861</c:v>
              </c:pt>
              <c:pt idx="1">
                <c:v>2.4275959476740852</c:v>
              </c:pt>
              <c:pt idx="2">
                <c:v>3.061868668240757</c:v>
              </c:pt>
              <c:pt idx="3">
                <c:v>3.8370908822666911</c:v>
              </c:pt>
              <c:pt idx="4">
                <c:v>4.7532625897519134</c:v>
              </c:pt>
              <c:pt idx="5">
                <c:v>5.8103837906963403</c:v>
              </c:pt>
              <c:pt idx="6">
                <c:v>7.0084544851000539</c:v>
              </c:pt>
              <c:pt idx="7">
                <c:v>8.3474746729630294</c:v>
              </c:pt>
              <c:pt idx="8">
                <c:v>9.8274443542853902</c:v>
              </c:pt>
              <c:pt idx="9">
                <c:v>11.448363529066761</c:v>
              </c:pt>
              <c:pt idx="10">
                <c:v>13.210232197307519</c:v>
              </c:pt>
              <c:pt idx="11">
                <c:v>15.11305035900755</c:v>
              </c:pt>
              <c:pt idx="12">
                <c:v>17.156818014166831</c:v>
              </c:pt>
              <c:pt idx="13">
                <c:v>19.341535162785359</c:v>
              </c:pt>
              <c:pt idx="14">
                <c:v>21.667201804863129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1.445491725307843</c:v>
              </c:pt>
              <c:pt idx="1">
                <c:v>1.5586519561028529</c:v>
              </c:pt>
              <c:pt idx="2">
                <c:v>1.704143681410708</c:v>
              </c:pt>
              <c:pt idx="3">
                <c:v>1.88196690123142</c:v>
              </c:pt>
              <c:pt idx="4">
                <c:v>2.0921216155649862</c:v>
              </c:pt>
              <c:pt idx="5">
                <c:v>2.3346078244114099</c:v>
              </c:pt>
              <c:pt idx="6">
                <c:v>2.609425527770691</c:v>
              </c:pt>
              <c:pt idx="7">
                <c:v>2.9165747256428292</c:v>
              </c:pt>
              <c:pt idx="8">
                <c:v>3.2560554180278172</c:v>
              </c:pt>
              <c:pt idx="9">
                <c:v>3.6278676049256742</c:v>
              </c:pt>
              <c:pt idx="10">
                <c:v>4.0320112863363784</c:v>
              </c:pt>
              <c:pt idx="11">
                <c:v>4.4684864622599436</c:v>
              </c:pt>
              <c:pt idx="12">
                <c:v>4.9372931326964133</c:v>
              </c:pt>
              <c:pt idx="13">
                <c:v>5.4384312976456419</c:v>
              </c:pt>
              <c:pt idx="14">
                <c:v>5.971900957107775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1.6687122959517451</c:v>
              </c:pt>
              <c:pt idx="1">
                <c:v>1.9554885261364321</c:v>
              </c:pt>
              <c:pt idx="2">
                <c:v>2.3242008220881551</c:v>
              </c:pt>
              <c:pt idx="3">
                <c:v>2.7748491838069431</c:v>
              </c:pt>
              <c:pt idx="4">
                <c:v>3.307433611292784</c:v>
              </c:pt>
              <c:pt idx="5">
                <c:v>3.9219541045456769</c:v>
              </c:pt>
              <c:pt idx="6">
                <c:v>4.6184106635655704</c:v>
              </c:pt>
              <c:pt idx="7">
                <c:v>5.3968032883526416</c:v>
              </c:pt>
              <c:pt idx="8">
                <c:v>6.257131978906628</c:v>
              </c:pt>
              <c:pt idx="9">
                <c:v>7.1993967352277783</c:v>
              </c:pt>
              <c:pt idx="10">
                <c:v>8.2235975573159568</c:v>
              </c:pt>
              <c:pt idx="11">
                <c:v>9.3297344451711375</c:v>
              </c:pt>
              <c:pt idx="12">
                <c:v>10.5178073987934</c:v>
              </c:pt>
              <c:pt idx="13">
                <c:v>11.78781641818272</c:v>
              </c:pt>
              <c:pt idx="14">
                <c:v>13.13976150333907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1.423699003286508</c:v>
              </c:pt>
              <c:pt idx="1">
                <c:v>1.5199093391760159</c:v>
              </c:pt>
              <c:pt idx="2">
                <c:v>1.643608342462525</c:v>
              </c:pt>
              <c:pt idx="3">
                <c:v>1.7947960131460361</c:v>
              </c:pt>
              <c:pt idx="4">
                <c:v>1.973472351226558</c:v>
              </c:pt>
              <c:pt idx="5">
                <c:v>2.179637356704065</c:v>
              </c:pt>
              <c:pt idx="6">
                <c:v>2.4132910295785801</c:v>
              </c:pt>
              <c:pt idx="7">
                <c:v>2.6744333698501008</c:v>
              </c:pt>
              <c:pt idx="8">
                <c:v>2.9630643775186232</c:v>
              </c:pt>
              <c:pt idx="9">
                <c:v>3.279184052584168</c:v>
              </c:pt>
              <c:pt idx="10">
                <c:v>3.6227923950466709</c:v>
              </c:pt>
              <c:pt idx="11">
                <c:v>3.9938894049061981</c:v>
              </c:pt>
              <c:pt idx="12">
                <c:v>4.3924750821627274</c:v>
              </c:pt>
              <c:pt idx="13">
                <c:v>4.8185494268162437</c:v>
              </c:pt>
              <c:pt idx="14">
                <c:v>5.2721124388667846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55680"/>
        <c:axId val="10595123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55328"/>
        <c:axId val="105953152"/>
      </c:scatterChart>
      <c:valAx>
        <c:axId val="81655680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5951232"/>
        <c:crosses val="autoZero"/>
        <c:crossBetween val="midCat"/>
        <c:majorUnit val="100"/>
      </c:valAx>
      <c:valAx>
        <c:axId val="10595123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81655680"/>
        <c:crosses val="autoZero"/>
        <c:crossBetween val="midCat"/>
        <c:majorUnit val="1"/>
      </c:valAx>
      <c:valAx>
        <c:axId val="10595315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5955328"/>
        <c:crosses val="max"/>
        <c:crossBetween val="midCat"/>
      </c:valAx>
      <c:valAx>
        <c:axId val="10595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953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'200031G6'!$N$28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'200031G6'!$N$30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'200031G6'!$Q$29:$Q$30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'200031G6'!$N$32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'200031G6'!$Q$31:$Q$32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'200031G6'!$N$34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'200031G6'!$Q$33:$Q$34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'200031G6'!$N$36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'200031G6'!$Q$35:$Q$36</c:f>
              <c:strCache>
                <c:ptCount val="2"/>
                <c:pt idx="0">
                  <c:v>N/A</c:v>
                </c:pt>
                <c:pt idx="1">
                  <c:v>1000</c:v>
                </c:pt>
              </c:strCache>
            </c:strRef>
          </c:xVal>
          <c:yVal>
            <c:numRef>
              <c:f>'200031G6'!$R$35:$R$36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'200031G6'!$N$38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'200031G6'!$Q$37:$Q$38</c:f>
              <c:numCache>
                <c:formatCode>0</c:formatCode>
                <c:ptCount val="2"/>
                <c:pt idx="0">
                  <c:v>154.91733104656424</c:v>
                </c:pt>
                <c:pt idx="1">
                  <c:v>750</c:v>
                </c:pt>
              </c:numCache>
            </c:numRef>
          </c:xVal>
          <c:yVal>
            <c:numRef>
              <c:f>'200031G6'!$R$37:$R$38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186.26087538242538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52512"/>
        <c:axId val="10557516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'200031G6'!$P$36</c:f>
              <c:numCache>
                <c:formatCode>0.0</c:formatCode>
                <c:ptCount val="1"/>
                <c:pt idx="0">
                  <c:v>4.3945170575404084</c:v>
                </c:pt>
              </c:numCache>
            </c:numRef>
          </c:xVal>
          <c:yVal>
            <c:numRef>
              <c:f>'200031G6'!$P$22</c:f>
              <c:numCache>
                <c:formatCode>0.00</c:formatCode>
                <c:ptCount val="1"/>
                <c:pt idx="0">
                  <c:v>92.460213049464627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04960"/>
        <c:axId val="105577088"/>
      </c:scatterChart>
      <c:valAx>
        <c:axId val="105552512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575168"/>
        <c:crossesAt val="0"/>
        <c:crossBetween val="midCat"/>
        <c:majorUnit val="100"/>
        <c:minorUnit val="100"/>
      </c:valAx>
      <c:valAx>
        <c:axId val="105575168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552512"/>
        <c:crosses val="autoZero"/>
        <c:crossBetween val="midCat"/>
        <c:majorUnit val="50"/>
        <c:minorUnit val="1"/>
      </c:valAx>
      <c:valAx>
        <c:axId val="105577088"/>
        <c:scaling>
          <c:orientation val="minMax"/>
          <c:max val="92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6504960"/>
        <c:crosses val="max"/>
        <c:crossBetween val="midCat"/>
        <c:majorUnit val="15"/>
      </c:valAx>
      <c:valAx>
        <c:axId val="10650496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55770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3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'100005G3'!$O$41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'100005G3'!$P$42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4.260798411785041</c:v>
              </c:pt>
              <c:pt idx="1">
                <c:v>6.5636416209511914</c:v>
              </c:pt>
              <c:pt idx="2">
                <c:v>9.5244400327362264</c:v>
              </c:pt>
              <c:pt idx="3">
                <c:v>13.14319364714015</c:v>
              </c:pt>
              <c:pt idx="4">
                <c:v>17.419902464162998</c:v>
              </c:pt>
              <c:pt idx="5">
                <c:v>22.354566483804799</c:v>
              </c:pt>
              <c:pt idx="6">
                <c:v>27.947185706065369</c:v>
              </c:pt>
              <c:pt idx="7">
                <c:v>34.197760130945063</c:v>
              </c:pt>
              <c:pt idx="8">
                <c:v>41.106289758442919</c:v>
              </c:pt>
              <c:pt idx="9">
                <c:v>48.672774588560657</c:v>
              </c:pt>
              <c:pt idx="10">
                <c:v>56.897214621296342</c:v>
              </c:pt>
              <c:pt idx="11">
                <c:v>65.779609856651035</c:v>
              </c:pt>
              <c:pt idx="12">
                <c:v>75.319960294626028</c:v>
              </c:pt>
              <c:pt idx="13">
                <c:v>85.518265935219645</c:v>
              </c:pt>
              <c:pt idx="14">
                <c:v>96.374526778430749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1.6525121433241761</c:v>
              </c:pt>
              <c:pt idx="1">
                <c:v>1.9266882547985451</c:v>
              </c:pt>
              <c:pt idx="2">
                <c:v>2.2792003981227138</c:v>
              </c:pt>
              <c:pt idx="3">
                <c:v>2.7100485732966981</c:v>
              </c:pt>
              <c:pt idx="4">
                <c:v>3.2192327803205152</c:v>
              </c:pt>
              <c:pt idx="5">
                <c:v>3.806753019194117</c:v>
              </c:pt>
              <c:pt idx="6">
                <c:v>4.4726092899175924</c:v>
              </c:pt>
              <c:pt idx="7">
                <c:v>5.2168015924908504</c:v>
              </c:pt>
              <c:pt idx="8">
                <c:v>6.0393299269139424</c:v>
              </c:pt>
              <c:pt idx="9">
                <c:v>6.9401942931868223</c:v>
              </c:pt>
              <c:pt idx="10">
                <c:v>7.9193946913095434</c:v>
              </c:pt>
              <c:pt idx="11">
                <c:v>8.9769311212820604</c:v>
              </c:pt>
              <c:pt idx="12">
                <c:v>10.112803583104411</c:v>
              </c:pt>
              <c:pt idx="13">
                <c:v>11.327012076776571</c:v>
              </c:pt>
              <c:pt idx="14">
                <c:v>12.61955660229855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3.039397255128145</c:v>
              </c:pt>
              <c:pt idx="1">
                <c:v>4.3922617868944824</c:v>
              </c:pt>
              <c:pt idx="2">
                <c:v>6.1316590420226804</c:v>
              </c:pt>
              <c:pt idx="3">
                <c:v>8.2575890205125742</c:v>
              </c:pt>
              <c:pt idx="4">
                <c:v>10.770051722364339</c:v>
              </c:pt>
              <c:pt idx="5">
                <c:v>13.66904714757792</c:v>
              </c:pt>
              <c:pt idx="6">
                <c:v>16.954575296153291</c:v>
              </c:pt>
              <c:pt idx="7">
                <c:v>20.626636168090531</c:v>
              </c:pt>
              <c:pt idx="8">
                <c:v>24.68522976338949</c:v>
              </c:pt>
              <c:pt idx="9">
                <c:v>29.13035608205033</c:v>
              </c:pt>
              <c:pt idx="10">
                <c:v>33.962015124073382</c:v>
              </c:pt>
              <c:pt idx="11">
                <c:v>39.180206889457352</c:v>
              </c:pt>
              <c:pt idx="12">
                <c:v>44.784931378203588</c:v>
              </c:pt>
              <c:pt idx="13">
                <c:v>50.776188590311648</c:v>
              </c:pt>
              <c:pt idx="14">
                <c:v>57.153978525781497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1.541330182156966</c:v>
              </c:pt>
              <c:pt idx="1">
                <c:v>1.7290314349457181</c:v>
              </c:pt>
              <c:pt idx="2">
                <c:v>1.970361617102673</c:v>
              </c:pt>
              <c:pt idx="3">
                <c:v>2.265320728627898</c:v>
              </c:pt>
              <c:pt idx="4">
                <c:v>2.6139087695212599</c:v>
              </c:pt>
              <c:pt idx="5">
                <c:v>3.0161257397828671</c:v>
              </c:pt>
              <c:pt idx="6">
                <c:v>3.4719716394126952</c:v>
              </c:pt>
              <c:pt idx="7">
                <c:v>3.9814464684107351</c:v>
              </c:pt>
              <c:pt idx="8">
                <c:v>4.5445502267769049</c:v>
              </c:pt>
              <c:pt idx="9">
                <c:v>5.1612829145114576</c:v>
              </c:pt>
              <c:pt idx="10">
                <c:v>5.8316445316141534</c:v>
              </c:pt>
              <c:pt idx="11">
                <c:v>6.5556350780849897</c:v>
              </c:pt>
              <c:pt idx="12">
                <c:v>7.3332545539241529</c:v>
              </c:pt>
              <c:pt idx="13">
                <c:v>8.1645029591314806</c:v>
              </c:pt>
              <c:pt idx="14">
                <c:v>9.0493802937070242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2.3378865054065141</c:v>
              </c:pt>
              <c:pt idx="1">
                <c:v>3.1451315651671701</c:v>
              </c:pt>
              <c:pt idx="2">
                <c:v>4.1830180705736506</c:v>
              </c:pt>
              <c:pt idx="3">
                <c:v>5.4515460216260578</c:v>
              </c:pt>
              <c:pt idx="4">
                <c:v>6.9507154183243562</c:v>
              </c:pt>
              <c:pt idx="5">
                <c:v>8.6805262606685467</c:v>
              </c:pt>
              <c:pt idx="6">
                <c:v>10.640978548658619</c:v>
              </c:pt>
              <c:pt idx="7">
                <c:v>12.832072282294609</c:v>
              </c:pt>
              <c:pt idx="8">
                <c:v>15.25380746157647</c:v>
              </c:pt>
              <c:pt idx="9">
                <c:v>17.906184086504229</c:v>
              </c:pt>
              <c:pt idx="10">
                <c:v>20.789202157077781</c:v>
              </c:pt>
              <c:pt idx="11">
                <c:v>23.90286167329743</c:v>
              </c:pt>
              <c:pt idx="12">
                <c:v>27.247162635162681</c:v>
              </c:pt>
              <c:pt idx="13">
                <c:v>30.822105042674188</c:v>
              </c:pt>
              <c:pt idx="14">
                <c:v>34.627688895831398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1.4327056660818001</c:v>
              </c:pt>
              <c:pt idx="1">
                <c:v>1.5359211841454099</c:v>
              </c:pt>
              <c:pt idx="2">
                <c:v>1.668626850227219</c:v>
              </c:pt>
              <c:pt idx="3">
                <c:v>1.830822664327195</c:v>
              </c:pt>
              <c:pt idx="4">
                <c:v>2.0225086264453491</c:v>
              </c:pt>
              <c:pt idx="5">
                <c:v>2.2436847365817032</c:v>
              </c:pt>
              <c:pt idx="6">
                <c:v>2.4943509947361782</c:v>
              </c:pt>
              <c:pt idx="7">
                <c:v>2.7745074009088748</c:v>
              </c:pt>
              <c:pt idx="8">
                <c:v>3.084153955099739</c:v>
              </c:pt>
              <c:pt idx="9">
                <c:v>3.42329065730878</c:v>
              </c:pt>
              <c:pt idx="10">
                <c:v>3.7919175075360219</c:v>
              </c:pt>
              <c:pt idx="11">
                <c:v>4.1900345057813846</c:v>
              </c:pt>
              <c:pt idx="12">
                <c:v>4.6176416520449681</c:v>
              </c:pt>
              <c:pt idx="13">
                <c:v>5.0747389463266854</c:v>
              </c:pt>
              <c:pt idx="14">
                <c:v>5.5613263886266484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1.8460911811691409</c:v>
              </c:pt>
              <c:pt idx="1">
                <c:v>2.270828766522941</c:v>
              </c:pt>
              <c:pt idx="2">
                <c:v>2.8169199476920599</c:v>
              </c:pt>
              <c:pt idx="3">
                <c:v>3.4843647246765701</c:v>
              </c:pt>
              <c:pt idx="4">
                <c:v>4.2731630974764414</c:v>
              </c:pt>
              <c:pt idx="5">
                <c:v>5.1833150660916676</c:v>
              </c:pt>
              <c:pt idx="6">
                <c:v>6.2148206305222704</c:v>
              </c:pt>
              <c:pt idx="7">
                <c:v>7.3676797907682401</c:v>
              </c:pt>
              <c:pt idx="8">
                <c:v>8.6418925468295686</c:v>
              </c:pt>
              <c:pt idx="9">
                <c:v>10.03745889870628</c:v>
              </c:pt>
              <c:pt idx="10">
                <c:v>11.55437884639832</c:v>
              </c:pt>
              <c:pt idx="11">
                <c:v>13.19265238990576</c:v>
              </c:pt>
              <c:pt idx="12">
                <c:v>14.95227952922858</c:v>
              </c:pt>
              <c:pt idx="13">
                <c:v>16.83326026436669</c:v>
              </c:pt>
              <c:pt idx="14">
                <c:v>18.835594595320089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1.392347398060338</c:v>
              </c:pt>
              <c:pt idx="1">
                <c:v>1.464173152107267</c:v>
              </c:pt>
              <c:pt idx="2">
                <c:v>1.556520550167606</c:v>
              </c:pt>
              <c:pt idx="3">
                <c:v>1.669389592241352</c:v>
              </c:pt>
              <c:pt idx="4">
                <c:v>1.802780278328507</c:v>
              </c:pt>
              <c:pt idx="5">
                <c:v>1.9566926084290699</c:v>
              </c:pt>
              <c:pt idx="6">
                <c:v>2.131126582543041</c:v>
              </c:pt>
              <c:pt idx="7">
                <c:v>2.326082200670422</c:v>
              </c:pt>
              <c:pt idx="8">
                <c:v>2.5415594628112101</c:v>
              </c:pt>
              <c:pt idx="9">
                <c:v>2.7775583689654271</c:v>
              </c:pt>
              <c:pt idx="10">
                <c:v>3.0340789191329991</c:v>
              </c:pt>
              <c:pt idx="11">
                <c:v>3.3111211133140181</c:v>
              </c:pt>
              <c:pt idx="12">
                <c:v>3.60868495150845</c:v>
              </c:pt>
              <c:pt idx="13">
                <c:v>3.9267704337162539</c:v>
              </c:pt>
              <c:pt idx="14">
                <c:v>4.2653775599374697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86720"/>
        <c:axId val="10108864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00928"/>
        <c:axId val="101099008"/>
      </c:scatterChart>
      <c:valAx>
        <c:axId val="10108672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1088640"/>
        <c:crosses val="autoZero"/>
        <c:crossBetween val="midCat"/>
        <c:majorUnit val="200"/>
      </c:valAx>
      <c:valAx>
        <c:axId val="1010886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1086720"/>
        <c:crosses val="autoZero"/>
        <c:crossBetween val="midCat"/>
        <c:majorUnit val="1"/>
      </c:valAx>
      <c:valAx>
        <c:axId val="10109900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5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1100928"/>
        <c:crosses val="max"/>
        <c:crossBetween val="midCat"/>
      </c:valAx>
      <c:valAx>
        <c:axId val="10110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10990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899" l="0.70000000000000095" r="0.70000000000000095" t="0.75000000000000899" header="0.3" footer="0.3"/>
    <c:pageSetup paperSize="9" orientation="landscape" horizontalDpi="-3" verticalDpi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'200031G6'!$N$37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'200031G6'!$O$37:$O$38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'200031G6'!$P$37:$P$38</c:f>
              <c:numCache>
                <c:formatCode>0.0</c:formatCode>
                <c:ptCount val="2"/>
                <c:pt idx="0">
                  <c:v>0</c:v>
                </c:pt>
                <c:pt idx="1">
                  <c:v>4.1879377931553057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'200031G6'!$N$35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'200031G6'!$O$35:$O$36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'200031G6'!$P$35:$P$36</c:f>
              <c:numCache>
                <c:formatCode>0.0</c:formatCode>
                <c:ptCount val="2"/>
                <c:pt idx="0">
                  <c:v>0</c:v>
                </c:pt>
                <c:pt idx="1">
                  <c:v>4.3945170575404084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'200031G6'!$N$33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'200031G6'!$O$33:$O$34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'200031G6'!$P$33:$P$34</c:f>
              <c:numCache>
                <c:formatCode>0.0</c:formatCode>
                <c:ptCount val="2"/>
                <c:pt idx="0">
                  <c:v>0</c:v>
                </c:pt>
                <c:pt idx="1">
                  <c:v>3.2051170575404084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'200031G6'!$N$31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'200031G6'!$O$31:$O$32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'200031G6'!$P$31:$P$32</c:f>
              <c:numCache>
                <c:formatCode>0.0</c:formatCode>
                <c:ptCount val="2"/>
                <c:pt idx="0">
                  <c:v>0</c:v>
                </c:pt>
                <c:pt idx="1">
                  <c:v>2.6104170575404084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'200031G6'!$N$29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'200031G6'!$O$29:$O$30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'200031G6'!$P$29:$P$30</c:f>
              <c:numCache>
                <c:formatCode>0.0</c:formatCode>
                <c:ptCount val="2"/>
                <c:pt idx="0">
                  <c:v>0</c:v>
                </c:pt>
                <c:pt idx="1">
                  <c:v>2.0157170575404084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'200031G6'!$N$27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'200031G6'!$O$27:$O$28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'200031G6'!$P$27:$P$28</c:f>
              <c:numCache>
                <c:formatCode>0.0</c:formatCode>
                <c:ptCount val="2"/>
                <c:pt idx="0">
                  <c:v>0</c:v>
                </c:pt>
                <c:pt idx="1">
                  <c:v>1.4210170575404084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55648"/>
        <c:axId val="10656192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'200031G6'!$O$23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'200031G6'!$P$23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74208"/>
        <c:axId val="106563840"/>
      </c:scatterChart>
      <c:valAx>
        <c:axId val="106555648"/>
        <c:scaling>
          <c:orientation val="minMax"/>
          <c:max val="1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561920"/>
        <c:crossesAt val="0"/>
        <c:crossBetween val="midCat"/>
        <c:majorUnit val="100"/>
        <c:minorUnit val="100"/>
      </c:valAx>
      <c:valAx>
        <c:axId val="106561920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555648"/>
        <c:crosses val="autoZero"/>
        <c:crossBetween val="midCat"/>
        <c:majorUnit val="1"/>
        <c:minorUnit val="1"/>
      </c:valAx>
      <c:valAx>
        <c:axId val="106563840"/>
        <c:scaling>
          <c:orientation val="minMax"/>
          <c:max val="8.05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6574208"/>
        <c:crosses val="max"/>
        <c:crossBetween val="midCat"/>
        <c:majorUnit val="1"/>
      </c:valAx>
      <c:valAx>
        <c:axId val="10657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563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'300069G1'!$O$1:$O$2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'300069G1'!$P$1:$P$2</c:f>
              <c:numCache>
                <c:formatCode>General</c:formatCode>
                <c:ptCount val="2"/>
                <c:pt idx="0">
                  <c:v>0</c:v>
                </c:pt>
                <c:pt idx="1">
                  <c:v>520.5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'300069G1'!$O$3:$O$5</c:f>
              <c:numCache>
                <c:formatCode>General</c:formatCode>
                <c:ptCount val="3"/>
                <c:pt idx="0">
                  <c:v>18.507071319529018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'300069G1'!$P$3:$P$5</c:f>
              <c:numCache>
                <c:formatCode>General</c:formatCode>
                <c:ptCount val="3"/>
                <c:pt idx="0">
                  <c:v>0</c:v>
                </c:pt>
                <c:pt idx="1">
                  <c:v>368.85609250424687</c:v>
                </c:pt>
                <c:pt idx="2">
                  <c:v>509.74548243106386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'300069G1'!$O$7:$O$8</c:f>
              <c:numCache>
                <c:formatCode>General</c:formatCode>
                <c:ptCount val="2"/>
                <c:pt idx="0">
                  <c:v>9.7287190899869529</c:v>
                </c:pt>
                <c:pt idx="1">
                  <c:v>750</c:v>
                </c:pt>
              </c:numCache>
            </c:numRef>
          </c:xVal>
          <c:yVal>
            <c:numRef>
              <c:f>'300069G1'!$P$7:$P$8</c:f>
              <c:numCache>
                <c:formatCode>General</c:formatCode>
                <c:ptCount val="2"/>
                <c:pt idx="0">
                  <c:v>0</c:v>
                </c:pt>
                <c:pt idx="1">
                  <c:v>513.74826895154899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'300069G1'!$O$6</c:f>
              <c:numCache>
                <c:formatCode>0</c:formatCode>
                <c:ptCount val="1"/>
                <c:pt idx="0">
                  <c:v>105</c:v>
                </c:pt>
              </c:numCache>
            </c:numRef>
          </c:xVal>
          <c:yVal>
            <c:numRef>
              <c:f>'300069G1'!$P$6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61760"/>
        <c:axId val="10667622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'300069G1'!$O$9:$O$10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'300069G1'!$P$9:$P$10</c:f>
              <c:numCache>
                <c:formatCode>General</c:formatCode>
                <c:ptCount val="2"/>
                <c:pt idx="0">
                  <c:v>0</c:v>
                </c:pt>
                <c:pt idx="1">
                  <c:v>114.49394336938188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78144"/>
        <c:axId val="106679680"/>
      </c:scatterChart>
      <c:valAx>
        <c:axId val="106661760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676224"/>
        <c:crossesAt val="0"/>
        <c:crossBetween val="midCat"/>
        <c:majorUnit val="100"/>
      </c:valAx>
      <c:valAx>
        <c:axId val="106676224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661760"/>
        <c:crosses val="autoZero"/>
        <c:crossBetween val="midCat"/>
        <c:majorUnit val="50"/>
        <c:minorUnit val="10"/>
      </c:valAx>
      <c:valAx>
        <c:axId val="1066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679680"/>
        <c:crosses val="autoZero"/>
        <c:crossBetween val="midCat"/>
      </c:valAx>
      <c:valAx>
        <c:axId val="106679680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678144"/>
        <c:crosses val="max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4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'300069G1'!$O$41</c:f>
              <c:numCache>
                <c:formatCode>0</c:formatCode>
                <c:ptCount val="1"/>
                <c:pt idx="0">
                  <c:v>105</c:v>
                </c:pt>
              </c:numCache>
            </c:numRef>
          </c:xVal>
          <c:yVal>
            <c:numRef>
              <c:f>'300069G1'!$P$42</c:f>
              <c:numCache>
                <c:formatCode>0.00</c:formatCode>
                <c:ptCount val="1"/>
                <c:pt idx="0">
                  <c:v>2.0168696842964615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5.0229056010808346</c:v>
              </c:pt>
              <c:pt idx="1">
                <c:v>7.9184988463659636</c:v>
              </c:pt>
              <c:pt idx="2">
                <c:v>11.641404447446821</c:v>
              </c:pt>
              <c:pt idx="3">
                <c:v>16.191622404323422</c:v>
              </c:pt>
              <c:pt idx="4">
                <c:v>21.56915271699577</c:v>
              </c:pt>
              <c:pt idx="5">
                <c:v>27.77399538546387</c:v>
              </c:pt>
              <c:pt idx="6">
                <c:v>34.806150409727437</c:v>
              </c:pt>
              <c:pt idx="7">
                <c:v>42.665617789787277</c:v>
              </c:pt>
              <c:pt idx="8">
                <c:v>51.352397525641912</c:v>
              </c:pt>
              <c:pt idx="9">
                <c:v>60.866489617292977</c:v>
              </c:pt>
              <c:pt idx="10">
                <c:v>71.207894064740813</c:v>
              </c:pt>
              <c:pt idx="11">
                <c:v>82.376610867983075</c:v>
              </c:pt>
              <c:pt idx="12">
                <c:v>94.372640027020424</c:v>
              </c:pt>
              <c:pt idx="13">
                <c:v>107.1959815418554</c:v>
              </c:pt>
              <c:pt idx="14">
                <c:v>120.8466354124844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1.8880206218581621</c:v>
              </c:pt>
              <c:pt idx="1">
                <c:v>2.3453699944144981</c:v>
              </c:pt>
              <c:pt idx="2">
                <c:v>2.9333906162726802</c:v>
              </c:pt>
              <c:pt idx="3">
                <c:v>3.6520824874326472</c:v>
              </c:pt>
              <c:pt idx="4">
                <c:v>4.50144560789444</c:v>
              </c:pt>
              <c:pt idx="5">
                <c:v>5.4814799776580418</c:v>
              </c:pt>
              <c:pt idx="6">
                <c:v>6.5921855967234038</c:v>
              </c:pt>
              <c:pt idx="7">
                <c:v>7.8335624650907034</c:v>
              </c:pt>
              <c:pt idx="8">
                <c:v>9.2056105827597374</c:v>
              </c:pt>
              <c:pt idx="9">
                <c:v>10.70832994973046</c:v>
              </c:pt>
              <c:pt idx="10">
                <c:v>12.34172056600327</c:v>
              </c:pt>
              <c:pt idx="11">
                <c:v>14.10578243157776</c:v>
              </c:pt>
              <c:pt idx="12">
                <c:v>16.000515546454061</c:v>
              </c:pt>
              <c:pt idx="13">
                <c:v>18.025919910632169</c:v>
              </c:pt>
              <c:pt idx="14">
                <c:v>20.181995524112239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3.554910241097502</c:v>
              </c:pt>
              <c:pt idx="1">
                <c:v>5.3087293175066126</c:v>
              </c:pt>
              <c:pt idx="2">
                <c:v>7.5636395586040814</c:v>
              </c:pt>
              <c:pt idx="3">
                <c:v>10.319640964389979</c:v>
              </c:pt>
              <c:pt idx="4">
                <c:v>13.57673353486412</c:v>
              </c:pt>
              <c:pt idx="5">
                <c:v>17.334917270026459</c:v>
              </c:pt>
              <c:pt idx="6">
                <c:v>21.594192169877228</c:v>
              </c:pt>
              <c:pt idx="7">
                <c:v>26.354558234416331</c:v>
              </c:pt>
              <c:pt idx="8">
                <c:v>31.616015463643951</c:v>
              </c:pt>
              <c:pt idx="9">
                <c:v>37.378563857559513</c:v>
              </c:pt>
              <c:pt idx="10">
                <c:v>43.642203416163568</c:v>
              </c:pt>
              <c:pt idx="11">
                <c:v>50.406934139456013</c:v>
              </c:pt>
              <c:pt idx="12">
                <c:v>57.672756027436733</c:v>
              </c:pt>
              <c:pt idx="13">
                <c:v>65.439669080106881</c:v>
              </c:pt>
              <c:pt idx="14">
                <c:v>73.707673297463202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1.754391631728454</c:v>
              </c:pt>
              <c:pt idx="1">
                <c:v>2.1078073452950412</c:v>
              </c:pt>
              <c:pt idx="2">
                <c:v>2.5621989770234852</c:v>
              </c:pt>
              <c:pt idx="3">
                <c:v>3.1175665269138202</c:v>
              </c:pt>
              <c:pt idx="4">
                <c:v>3.7739099949660342</c:v>
              </c:pt>
              <c:pt idx="5">
                <c:v>4.5312293811802133</c:v>
              </c:pt>
              <c:pt idx="6">
                <c:v>5.3895246855560943</c:v>
              </c:pt>
              <c:pt idx="7">
                <c:v>6.3487959080939396</c:v>
              </c:pt>
              <c:pt idx="8">
                <c:v>7.4090430487937198</c:v>
              </c:pt>
              <c:pt idx="9">
                <c:v>8.5702661076552786</c:v>
              </c:pt>
              <c:pt idx="10">
                <c:v>9.8324650846787645</c:v>
              </c:pt>
              <c:pt idx="11">
                <c:v>11.195639979864261</c:v>
              </c:pt>
              <c:pt idx="12">
                <c:v>12.65979079321137</c:v>
              </c:pt>
              <c:pt idx="13">
                <c:v>14.224917524720491</c:v>
              </c:pt>
              <c:pt idx="14">
                <c:v>15.8910201743915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2.7117683135193591</c:v>
              </c:pt>
              <c:pt idx="1">
                <c:v>3.8098103351455381</c:v>
              </c:pt>
              <c:pt idx="2">
                <c:v>5.2215786486649076</c:v>
              </c:pt>
              <c:pt idx="3">
                <c:v>6.9470732540774716</c:v>
              </c:pt>
              <c:pt idx="4">
                <c:v>8.9862941513832268</c:v>
              </c:pt>
              <c:pt idx="5">
                <c:v>11.33924134058217</c:v>
              </c:pt>
              <c:pt idx="6">
                <c:v>14.00591482167432</c:v>
              </c:pt>
              <c:pt idx="7">
                <c:v>16.986314594659589</c:v>
              </c:pt>
              <c:pt idx="8">
                <c:v>20.280440659537948</c:v>
              </c:pt>
              <c:pt idx="9">
                <c:v>23.888293016309721</c:v>
              </c:pt>
              <c:pt idx="10">
                <c:v>27.809871664974839</c:v>
              </c:pt>
              <c:pt idx="11">
                <c:v>32.045176605532909</c:v>
              </c:pt>
              <c:pt idx="12">
                <c:v>36.5942078379842</c:v>
              </c:pt>
              <c:pt idx="13">
                <c:v>41.456965362328702</c:v>
              </c:pt>
              <c:pt idx="14">
                <c:v>46.633449178566337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1.6238364208465159</c:v>
              </c:pt>
              <c:pt idx="1">
                <c:v>1.875709192616027</c:v>
              </c:pt>
              <c:pt idx="2">
                <c:v>2.1995456134625382</c:v>
              </c:pt>
              <c:pt idx="3">
                <c:v>2.5953456833860389</c:v>
              </c:pt>
              <c:pt idx="4">
                <c:v>3.0631094023865848</c:v>
              </c:pt>
              <c:pt idx="5">
                <c:v>3.6028367704641071</c:v>
              </c:pt>
              <c:pt idx="6">
                <c:v>4.2145277876186356</c:v>
              </c:pt>
              <c:pt idx="7">
                <c:v>4.8981824538501684</c:v>
              </c:pt>
              <c:pt idx="8">
                <c:v>5.6538007691586927</c:v>
              </c:pt>
              <c:pt idx="9">
                <c:v>6.4813827335442902</c:v>
              </c:pt>
              <c:pt idx="10">
                <c:v>7.3809283470067646</c:v>
              </c:pt>
              <c:pt idx="11">
                <c:v>8.3524376095465094</c:v>
              </c:pt>
              <c:pt idx="12">
                <c:v>9.3959105211628771</c:v>
              </c:pt>
              <c:pt idx="13">
                <c:v>10.5113470818564</c:v>
              </c:pt>
              <c:pt idx="14">
                <c:v>11.698747291627001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2.1206822071183802</c:v>
              </c:pt>
              <c:pt idx="1">
                <c:v>2.7589905904326808</c:v>
              </c:pt>
              <c:pt idx="2">
                <c:v>3.5796727975510549</c:v>
              </c:pt>
              <c:pt idx="3">
                <c:v>4.5827288284735186</c:v>
              </c:pt>
              <c:pt idx="4">
                <c:v>5.7681586832000704</c:v>
              </c:pt>
              <c:pt idx="5">
                <c:v>7.1359623617307024</c:v>
              </c:pt>
              <c:pt idx="6">
                <c:v>8.6861398640654208</c:v>
              </c:pt>
              <c:pt idx="7">
                <c:v>10.418691190204219</c:v>
              </c:pt>
              <c:pt idx="8">
                <c:v>12.33361634014712</c:v>
              </c:pt>
              <c:pt idx="9">
                <c:v>14.430915313894079</c:v>
              </c:pt>
              <c:pt idx="10">
                <c:v>16.71058811144513</c:v>
              </c:pt>
              <c:pt idx="11">
                <c:v>19.172634732800269</c:v>
              </c:pt>
              <c:pt idx="12">
                <c:v>21.817055177959741</c:v>
              </c:pt>
              <c:pt idx="13">
                <c:v>24.64384944692279</c:v>
              </c:pt>
              <c:pt idx="14">
                <c:v>27.6530175396902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1.5753300395731979</c:v>
              </c:pt>
              <c:pt idx="1">
                <c:v>1.789475625907907</c:v>
              </c:pt>
              <c:pt idx="2">
                <c:v>2.0648056654811051</c:v>
              </c:pt>
              <c:pt idx="3">
                <c:v>2.4013201582928012</c:v>
              </c:pt>
              <c:pt idx="4">
                <c:v>2.7990191043429649</c:v>
              </c:pt>
              <c:pt idx="5">
                <c:v>3.257902503631628</c:v>
              </c:pt>
              <c:pt idx="6">
                <c:v>3.7779703561587801</c:v>
              </c:pt>
              <c:pt idx="7">
                <c:v>4.3592226619244183</c:v>
              </c:pt>
              <c:pt idx="8">
                <c:v>5.0016594209285534</c:v>
              </c:pt>
              <c:pt idx="9">
                <c:v>5.7052806331711734</c:v>
              </c:pt>
              <c:pt idx="10">
                <c:v>6.4700862986522703</c:v>
              </c:pt>
              <c:pt idx="11">
                <c:v>7.2960764173718724</c:v>
              </c:pt>
              <c:pt idx="12">
                <c:v>8.1832509893299505</c:v>
              </c:pt>
              <c:pt idx="13">
                <c:v>9.1316100145265118</c:v>
              </c:pt>
              <c:pt idx="14">
                <c:v>10.141153492961459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61600"/>
        <c:axId val="10676787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80160"/>
        <c:axId val="106769792"/>
      </c:scatterChart>
      <c:valAx>
        <c:axId val="106761600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767872"/>
        <c:crosses val="autoZero"/>
        <c:crossBetween val="midCat"/>
        <c:majorUnit val="100"/>
      </c:valAx>
      <c:valAx>
        <c:axId val="10676787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761600"/>
        <c:crosses val="autoZero"/>
        <c:crossBetween val="midCat"/>
        <c:majorUnit val="1"/>
      </c:valAx>
      <c:valAx>
        <c:axId val="10676979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780160"/>
        <c:crosses val="max"/>
        <c:crossBetween val="midCat"/>
      </c:valAx>
      <c:valAx>
        <c:axId val="10678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7697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'300069G2'!$N$28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520.5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'300069G2'!$N$30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'300069G2'!$Q$29:$Q$30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'300069G2'!$N$32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'300069G2'!$Q$31:$Q$32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'300069G2'!$Q$33:$Q$34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'300069G2'!$N$36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'300069G2'!$Q$35:$Q$36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'300069G2'!$N$38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'300069G2'!$Q$37:$Q$38</c:f>
              <c:strCache>
                <c:ptCount val="2"/>
                <c:pt idx="0">
                  <c:v>N/A</c:v>
                </c:pt>
                <c:pt idx="1">
                  <c:v>664</c:v>
                </c:pt>
              </c:strCache>
            </c:strRef>
          </c:xVal>
          <c:yVal>
            <c:numRef>
              <c:f>'300069G2'!$R$37:$R$38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'300069G2'!$N$40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'300069G2'!$Q$39:$Q$40</c:f>
              <c:numCache>
                <c:formatCode>0</c:formatCode>
                <c:ptCount val="2"/>
                <c:pt idx="0">
                  <c:v>18.507071319528951</c:v>
                </c:pt>
                <c:pt idx="1">
                  <c:v>550</c:v>
                </c:pt>
              </c:numCache>
            </c:numRef>
          </c:xVal>
          <c:yVal>
            <c:numRef>
              <c:f>'300069G2'!$R$39:$R$40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368.85609250424687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00960"/>
        <c:axId val="10700288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'300069G2'!$P$36</c:f>
              <c:numCache>
                <c:formatCode>0.0</c:formatCode>
                <c:ptCount val="1"/>
                <c:pt idx="0">
                  <c:v>8.5361967379122099</c:v>
                </c:pt>
              </c:numCache>
            </c:numRef>
          </c:xVal>
          <c:yVal>
            <c:numRef>
              <c:f>'300069G2'!$P$22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06976"/>
        <c:axId val="107005056"/>
      </c:scatterChart>
      <c:valAx>
        <c:axId val="107000960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002880"/>
        <c:crossesAt val="0"/>
        <c:crossBetween val="midCat"/>
        <c:majorUnit val="100"/>
        <c:minorUnit val="100"/>
      </c:valAx>
      <c:valAx>
        <c:axId val="107002880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000960"/>
        <c:crosses val="autoZero"/>
        <c:crossBetween val="midCat"/>
        <c:majorUnit val="50"/>
        <c:minorUnit val="1"/>
      </c:valAx>
      <c:valAx>
        <c:axId val="107005056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006976"/>
        <c:crosses val="max"/>
        <c:crossBetween val="midCat"/>
        <c:majorUnit val="20"/>
      </c:valAx>
      <c:valAx>
        <c:axId val="10700697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7005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'300069G2'!$N$39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'300069G2'!$O$39:$O$40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'300069G2'!$P$39:$P$40</c:f>
              <c:numCache>
                <c:formatCode>0.0</c:formatCode>
                <c:ptCount val="2"/>
                <c:pt idx="0">
                  <c:v>0</c:v>
                </c:pt>
                <c:pt idx="1">
                  <c:v>9.8860276078022853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'300069G2'!$N$37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'300069G2'!$O$37:$O$38</c:f>
              <c:numCache>
                <c:formatCode>0</c:formatCode>
                <c:ptCount val="2"/>
                <c:pt idx="0">
                  <c:v>0</c:v>
                </c:pt>
                <c:pt idx="1">
                  <c:v>664.28571428571433</c:v>
                </c:pt>
              </c:numCache>
            </c:numRef>
          </c:xVal>
          <c:yVal>
            <c:numRef>
              <c:f>'300069G2'!$P$37:$P$38</c:f>
              <c:numCache>
                <c:formatCode>0.0</c:formatCode>
                <c:ptCount val="2"/>
                <c:pt idx="0">
                  <c:v>0</c:v>
                </c:pt>
                <c:pt idx="1">
                  <c:v>10.188412825007957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'300069G2'!$N$35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'300069G2'!$O$35:$O$36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'300069G2'!$P$35:$P$36</c:f>
              <c:numCache>
                <c:formatCode>0.0</c:formatCode>
                <c:ptCount val="2"/>
                <c:pt idx="0">
                  <c:v>0</c:v>
                </c:pt>
                <c:pt idx="1">
                  <c:v>8.5361967379122099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'300069G2'!$N$33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'300069G2'!$O$33:$O$34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'300069G2'!$P$33:$P$34</c:f>
              <c:numCache>
                <c:formatCode>0.0</c:formatCode>
                <c:ptCount val="2"/>
                <c:pt idx="0">
                  <c:v>0</c:v>
                </c:pt>
                <c:pt idx="1">
                  <c:v>6.5582967379122099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'300069G2'!$N$31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'300069G2'!$O$31:$O$32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'300069G2'!$P$31:$P$32</c:f>
              <c:numCache>
                <c:formatCode>0.0</c:formatCode>
                <c:ptCount val="2"/>
                <c:pt idx="0">
                  <c:v>0</c:v>
                </c:pt>
                <c:pt idx="1">
                  <c:v>4.580396737912209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'300069G2'!$N$29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'300069G2'!$O$29:$O$30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'300069G2'!$P$29:$P$30</c:f>
              <c:numCache>
                <c:formatCode>0.0</c:formatCode>
                <c:ptCount val="2"/>
                <c:pt idx="0">
                  <c:v>0</c:v>
                </c:pt>
                <c:pt idx="1">
                  <c:v>2.6024967379122099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'300069G2'!$N$27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'300069G2'!$P$27:$P$28</c:f>
              <c:numCache>
                <c:formatCode>0.0</c:formatCode>
                <c:ptCount val="2"/>
                <c:pt idx="0">
                  <c:v>0</c:v>
                </c:pt>
                <c:pt idx="1">
                  <c:v>1.6135467379122099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36512"/>
        <c:axId val="10713843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'300069G2'!$P$23</c:f>
              <c:numCache>
                <c:formatCode>0.00</c:formatCode>
                <c:ptCount val="1"/>
                <c:pt idx="0">
                  <c:v>16.092264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42528"/>
        <c:axId val="107140608"/>
      </c:scatterChart>
      <c:valAx>
        <c:axId val="10713651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138432"/>
        <c:crossesAt val="0"/>
        <c:crossBetween val="midCat"/>
        <c:majorUnit val="100"/>
        <c:minorUnit val="100"/>
      </c:valAx>
      <c:valAx>
        <c:axId val="10713843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136512"/>
        <c:crosses val="autoZero"/>
        <c:crossBetween val="midCat"/>
        <c:majorUnit val="1"/>
        <c:minorUnit val="1"/>
      </c:valAx>
      <c:valAx>
        <c:axId val="107140608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142528"/>
        <c:crosses val="max"/>
        <c:crossBetween val="midCat"/>
        <c:majorUnit val="2"/>
      </c:valAx>
      <c:valAx>
        <c:axId val="10714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406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'300069G3'!$O$1:$O$2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'300069G3'!$P$1:$P$2</c:f>
              <c:numCache>
                <c:formatCode>General</c:formatCode>
                <c:ptCount val="2"/>
                <c:pt idx="0">
                  <c:v>0</c:v>
                </c:pt>
                <c:pt idx="1">
                  <c:v>520.5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'300069G3'!$O$3:$O$5</c:f>
              <c:numCache>
                <c:formatCode>General</c:formatCode>
                <c:ptCount val="3"/>
                <c:pt idx="0">
                  <c:v>79.025803308001514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'300069G3'!$P$3:$P$5</c:f>
              <c:numCache>
                <c:formatCode>General</c:formatCode>
                <c:ptCount val="3"/>
                <c:pt idx="0">
                  <c:v>0</c:v>
                </c:pt>
                <c:pt idx="1">
                  <c:v>326.85609250424693</c:v>
                </c:pt>
                <c:pt idx="2">
                  <c:v>476.78714909773055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'300069G3'!$O$7:$O$8</c:f>
              <c:numCache>
                <c:formatCode>General</c:formatCode>
                <c:ptCount val="2"/>
                <c:pt idx="0">
                  <c:v>10.947334975686886</c:v>
                </c:pt>
                <c:pt idx="1">
                  <c:v>750</c:v>
                </c:pt>
              </c:numCache>
            </c:numRef>
          </c:xVal>
          <c:yVal>
            <c:numRef>
              <c:f>'300069G3'!$P$7:$P$8</c:f>
              <c:numCache>
                <c:formatCode>General</c:formatCode>
                <c:ptCount val="2"/>
                <c:pt idx="0">
                  <c:v>0</c:v>
                </c:pt>
                <c:pt idx="1">
                  <c:v>512.90254952687326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'300069G3'!$O$6</c:f>
              <c:numCache>
                <c:formatCode>0</c:formatCode>
                <c:ptCount val="1"/>
                <c:pt idx="0">
                  <c:v>106</c:v>
                </c:pt>
              </c:numCache>
            </c:numRef>
          </c:xVal>
          <c:yVal>
            <c:numRef>
              <c:f>'300069G3'!$P$6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85280"/>
        <c:axId val="10718720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'300069G3'!$O$9:$O$10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'300069G3'!$P$9:$P$10</c:f>
              <c:numCache>
                <c:formatCode>General</c:formatCode>
                <c:ptCount val="2"/>
                <c:pt idx="0">
                  <c:v>0</c:v>
                </c:pt>
                <c:pt idx="1">
                  <c:v>114.49394336938188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01664"/>
        <c:axId val="107203200"/>
      </c:scatterChart>
      <c:valAx>
        <c:axId val="107185280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187200"/>
        <c:crossesAt val="0"/>
        <c:crossBetween val="midCat"/>
        <c:majorUnit val="100"/>
      </c:valAx>
      <c:valAx>
        <c:axId val="107187200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185280"/>
        <c:crosses val="autoZero"/>
        <c:crossBetween val="midCat"/>
        <c:majorUnit val="50"/>
        <c:minorUnit val="10"/>
      </c:valAx>
      <c:valAx>
        <c:axId val="10720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203200"/>
        <c:crosses val="autoZero"/>
        <c:crossBetween val="midCat"/>
      </c:valAx>
      <c:valAx>
        <c:axId val="107203200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201664"/>
        <c:crosses val="max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'300069G3'!$O$41</c:f>
              <c:numCache>
                <c:formatCode>0</c:formatCode>
                <c:ptCount val="1"/>
                <c:pt idx="0">
                  <c:v>106</c:v>
                </c:pt>
              </c:numCache>
            </c:numRef>
          </c:xVal>
          <c:yVal>
            <c:numRef>
              <c:f>'300069G3'!$P$42</c:f>
              <c:numCache>
                <c:formatCode>0.00</c:formatCode>
                <c:ptCount val="1"/>
                <c:pt idx="0">
                  <c:v>2.0211932734158431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5.0229056010808346</c:v>
              </c:pt>
              <c:pt idx="1">
                <c:v>7.9184988463659636</c:v>
              </c:pt>
              <c:pt idx="2">
                <c:v>11.641404447446821</c:v>
              </c:pt>
              <c:pt idx="3">
                <c:v>16.191622404323422</c:v>
              </c:pt>
              <c:pt idx="4">
                <c:v>21.56915271699577</c:v>
              </c:pt>
              <c:pt idx="5">
                <c:v>27.77399538546387</c:v>
              </c:pt>
              <c:pt idx="6">
                <c:v>34.806150409727437</c:v>
              </c:pt>
              <c:pt idx="7">
                <c:v>42.665617789787277</c:v>
              </c:pt>
              <c:pt idx="8">
                <c:v>51.352397525641912</c:v>
              </c:pt>
              <c:pt idx="9">
                <c:v>60.866489617292977</c:v>
              </c:pt>
              <c:pt idx="10">
                <c:v>71.207894064740813</c:v>
              </c:pt>
              <c:pt idx="11">
                <c:v>82.376610867983075</c:v>
              </c:pt>
              <c:pt idx="12">
                <c:v>94.372640027020424</c:v>
              </c:pt>
              <c:pt idx="13">
                <c:v>107.1959815418554</c:v>
              </c:pt>
              <c:pt idx="14">
                <c:v>120.8466354124844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1.8880206218581621</c:v>
              </c:pt>
              <c:pt idx="1">
                <c:v>2.3453699944144981</c:v>
              </c:pt>
              <c:pt idx="2">
                <c:v>2.9333906162726802</c:v>
              </c:pt>
              <c:pt idx="3">
                <c:v>3.6520824874326472</c:v>
              </c:pt>
              <c:pt idx="4">
                <c:v>4.50144560789444</c:v>
              </c:pt>
              <c:pt idx="5">
                <c:v>5.4814799776580418</c:v>
              </c:pt>
              <c:pt idx="6">
                <c:v>6.5921855967234038</c:v>
              </c:pt>
              <c:pt idx="7">
                <c:v>7.8335624650907034</c:v>
              </c:pt>
              <c:pt idx="8">
                <c:v>9.2056105827597374</c:v>
              </c:pt>
              <c:pt idx="9">
                <c:v>10.70832994973046</c:v>
              </c:pt>
              <c:pt idx="10">
                <c:v>12.34172056600327</c:v>
              </c:pt>
              <c:pt idx="11">
                <c:v>14.10578243157776</c:v>
              </c:pt>
              <c:pt idx="12">
                <c:v>16.000515546454061</c:v>
              </c:pt>
              <c:pt idx="13">
                <c:v>18.025919910632169</c:v>
              </c:pt>
              <c:pt idx="14">
                <c:v>20.181995524112239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3.554910241097502</c:v>
              </c:pt>
              <c:pt idx="1">
                <c:v>5.3087293175066126</c:v>
              </c:pt>
              <c:pt idx="2">
                <c:v>7.5636395586040814</c:v>
              </c:pt>
              <c:pt idx="3">
                <c:v>10.319640964389979</c:v>
              </c:pt>
              <c:pt idx="4">
                <c:v>13.57673353486412</c:v>
              </c:pt>
              <c:pt idx="5">
                <c:v>17.334917270026459</c:v>
              </c:pt>
              <c:pt idx="6">
                <c:v>21.594192169877228</c:v>
              </c:pt>
              <c:pt idx="7">
                <c:v>26.354558234416331</c:v>
              </c:pt>
              <c:pt idx="8">
                <c:v>31.616015463643951</c:v>
              </c:pt>
              <c:pt idx="9">
                <c:v>37.378563857559513</c:v>
              </c:pt>
              <c:pt idx="10">
                <c:v>43.642203416163568</c:v>
              </c:pt>
              <c:pt idx="11">
                <c:v>50.406934139456013</c:v>
              </c:pt>
              <c:pt idx="12">
                <c:v>57.672756027436733</c:v>
              </c:pt>
              <c:pt idx="13">
                <c:v>65.439669080106881</c:v>
              </c:pt>
              <c:pt idx="14">
                <c:v>73.707673297463202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1.754391631728454</c:v>
              </c:pt>
              <c:pt idx="1">
                <c:v>2.1078073452950412</c:v>
              </c:pt>
              <c:pt idx="2">
                <c:v>2.5621989770234852</c:v>
              </c:pt>
              <c:pt idx="3">
                <c:v>3.1175665269138202</c:v>
              </c:pt>
              <c:pt idx="4">
                <c:v>3.7739099949660342</c:v>
              </c:pt>
              <c:pt idx="5">
                <c:v>4.5312293811802133</c:v>
              </c:pt>
              <c:pt idx="6">
                <c:v>5.3895246855560943</c:v>
              </c:pt>
              <c:pt idx="7">
                <c:v>6.3487959080939396</c:v>
              </c:pt>
              <c:pt idx="8">
                <c:v>7.4090430487937198</c:v>
              </c:pt>
              <c:pt idx="9">
                <c:v>8.5702661076552786</c:v>
              </c:pt>
              <c:pt idx="10">
                <c:v>9.8324650846787645</c:v>
              </c:pt>
              <c:pt idx="11">
                <c:v>11.195639979864261</c:v>
              </c:pt>
              <c:pt idx="12">
                <c:v>12.65979079321137</c:v>
              </c:pt>
              <c:pt idx="13">
                <c:v>14.224917524720491</c:v>
              </c:pt>
              <c:pt idx="14">
                <c:v>15.8910201743915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2.7117683135193591</c:v>
              </c:pt>
              <c:pt idx="1">
                <c:v>3.8098103351455381</c:v>
              </c:pt>
              <c:pt idx="2">
                <c:v>5.2215786486649076</c:v>
              </c:pt>
              <c:pt idx="3">
                <c:v>6.9470732540774716</c:v>
              </c:pt>
              <c:pt idx="4">
                <c:v>8.9862941513832268</c:v>
              </c:pt>
              <c:pt idx="5">
                <c:v>11.33924134058217</c:v>
              </c:pt>
              <c:pt idx="6">
                <c:v>14.00591482167432</c:v>
              </c:pt>
              <c:pt idx="7">
                <c:v>16.986314594659589</c:v>
              </c:pt>
              <c:pt idx="8">
                <c:v>20.280440659537948</c:v>
              </c:pt>
              <c:pt idx="9">
                <c:v>23.888293016309721</c:v>
              </c:pt>
              <c:pt idx="10">
                <c:v>27.809871664974839</c:v>
              </c:pt>
              <c:pt idx="11">
                <c:v>32.045176605532909</c:v>
              </c:pt>
              <c:pt idx="12">
                <c:v>36.5942078379842</c:v>
              </c:pt>
              <c:pt idx="13">
                <c:v>41.456965362328702</c:v>
              </c:pt>
              <c:pt idx="14">
                <c:v>46.633449178566337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1.6238364208465159</c:v>
              </c:pt>
              <c:pt idx="1">
                <c:v>1.875709192616027</c:v>
              </c:pt>
              <c:pt idx="2">
                <c:v>2.1995456134625382</c:v>
              </c:pt>
              <c:pt idx="3">
                <c:v>2.5953456833860389</c:v>
              </c:pt>
              <c:pt idx="4">
                <c:v>3.0631094023865848</c:v>
              </c:pt>
              <c:pt idx="5">
                <c:v>3.6028367704641071</c:v>
              </c:pt>
              <c:pt idx="6">
                <c:v>4.2145277876186356</c:v>
              </c:pt>
              <c:pt idx="7">
                <c:v>4.8981824538501684</c:v>
              </c:pt>
              <c:pt idx="8">
                <c:v>5.6538007691586927</c:v>
              </c:pt>
              <c:pt idx="9">
                <c:v>6.4813827335442902</c:v>
              </c:pt>
              <c:pt idx="10">
                <c:v>7.3809283470067646</c:v>
              </c:pt>
              <c:pt idx="11">
                <c:v>8.3524376095465094</c:v>
              </c:pt>
              <c:pt idx="12">
                <c:v>9.3959105211628771</c:v>
              </c:pt>
              <c:pt idx="13">
                <c:v>10.5113470818564</c:v>
              </c:pt>
              <c:pt idx="14">
                <c:v>11.698747291627001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2.1206822071183802</c:v>
              </c:pt>
              <c:pt idx="1">
                <c:v>2.7589905904326808</c:v>
              </c:pt>
              <c:pt idx="2">
                <c:v>3.5796727975510549</c:v>
              </c:pt>
              <c:pt idx="3">
                <c:v>4.5827288284735186</c:v>
              </c:pt>
              <c:pt idx="4">
                <c:v>5.7681586832000704</c:v>
              </c:pt>
              <c:pt idx="5">
                <c:v>7.1359623617307024</c:v>
              </c:pt>
              <c:pt idx="6">
                <c:v>8.6861398640654208</c:v>
              </c:pt>
              <c:pt idx="7">
                <c:v>10.418691190204219</c:v>
              </c:pt>
              <c:pt idx="8">
                <c:v>12.33361634014712</c:v>
              </c:pt>
              <c:pt idx="9">
                <c:v>14.430915313894079</c:v>
              </c:pt>
              <c:pt idx="10">
                <c:v>16.71058811144513</c:v>
              </c:pt>
              <c:pt idx="11">
                <c:v>19.172634732800269</c:v>
              </c:pt>
              <c:pt idx="12">
                <c:v>21.817055177959741</c:v>
              </c:pt>
              <c:pt idx="13">
                <c:v>24.64384944692279</c:v>
              </c:pt>
              <c:pt idx="14">
                <c:v>27.6530175396902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1.5753300395731979</c:v>
              </c:pt>
              <c:pt idx="1">
                <c:v>1.789475625907907</c:v>
              </c:pt>
              <c:pt idx="2">
                <c:v>2.0648056654811051</c:v>
              </c:pt>
              <c:pt idx="3">
                <c:v>2.4013201582928012</c:v>
              </c:pt>
              <c:pt idx="4">
                <c:v>2.7990191043429649</c:v>
              </c:pt>
              <c:pt idx="5">
                <c:v>3.257902503631628</c:v>
              </c:pt>
              <c:pt idx="6">
                <c:v>3.7779703561587801</c:v>
              </c:pt>
              <c:pt idx="7">
                <c:v>4.3592226619244183</c:v>
              </c:pt>
              <c:pt idx="8">
                <c:v>5.0016594209285534</c:v>
              </c:pt>
              <c:pt idx="9">
                <c:v>5.7052806331711734</c:v>
              </c:pt>
              <c:pt idx="10">
                <c:v>6.4700862986522703</c:v>
              </c:pt>
              <c:pt idx="11">
                <c:v>7.2960764173718724</c:v>
              </c:pt>
              <c:pt idx="12">
                <c:v>8.1832509893299505</c:v>
              </c:pt>
              <c:pt idx="13">
                <c:v>9.1316100145265118</c:v>
              </c:pt>
              <c:pt idx="14">
                <c:v>10.141153492961459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81024"/>
        <c:axId val="10729139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99584"/>
        <c:axId val="107293312"/>
      </c:scatterChart>
      <c:valAx>
        <c:axId val="107281024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291392"/>
        <c:crosses val="autoZero"/>
        <c:crossBetween val="midCat"/>
        <c:majorUnit val="100"/>
      </c:valAx>
      <c:valAx>
        <c:axId val="1072913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281024"/>
        <c:crosses val="autoZero"/>
        <c:crossBetween val="midCat"/>
        <c:majorUnit val="1"/>
      </c:valAx>
      <c:valAx>
        <c:axId val="10729331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299584"/>
        <c:crosses val="max"/>
        <c:crossBetween val="midCat"/>
      </c:valAx>
      <c:valAx>
        <c:axId val="107299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2933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'300069G4'!$N$28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520.5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'300069G4'!$N$30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'300069G4'!$Q$29:$Q$30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'300069G4'!$N$32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'300069G4'!$Q$31:$Q$32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'300069G4'!$Q$33:$Q$34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'300069G4'!$N$36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'300069G4'!$Q$35:$Q$36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'300069G4'!$N$38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'300069G4'!$Q$37:$Q$38</c:f>
              <c:strCache>
                <c:ptCount val="2"/>
                <c:pt idx="0">
                  <c:v>N/A</c:v>
                </c:pt>
                <c:pt idx="1">
                  <c:v>664</c:v>
                </c:pt>
              </c:strCache>
            </c:strRef>
          </c:xVal>
          <c:yVal>
            <c:numRef>
              <c:f>'300069G4'!$R$37:$R$38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'300069G4'!$N$40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'300069G4'!$Q$39:$Q$40</c:f>
              <c:numCache>
                <c:formatCode>0</c:formatCode>
                <c:ptCount val="2"/>
                <c:pt idx="0">
                  <c:v>79.025803308001571</c:v>
                </c:pt>
                <c:pt idx="1">
                  <c:v>550</c:v>
                </c:pt>
              </c:numCache>
            </c:numRef>
          </c:xVal>
          <c:yVal>
            <c:numRef>
              <c:f>'300069G4'!$R$39:$R$40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326.85609250424693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16288"/>
        <c:axId val="107518208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'300069G4'!$P$36</c:f>
              <c:numCache>
                <c:formatCode>0.0</c:formatCode>
                <c:ptCount val="1"/>
                <c:pt idx="0">
                  <c:v>8.5361967379122099</c:v>
                </c:pt>
              </c:numCache>
            </c:numRef>
          </c:xVal>
          <c:yVal>
            <c:numRef>
              <c:f>'300069G4'!$P$22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42784"/>
        <c:axId val="107540864"/>
      </c:scatterChart>
      <c:valAx>
        <c:axId val="107516288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518208"/>
        <c:crossesAt val="0"/>
        <c:crossBetween val="midCat"/>
        <c:majorUnit val="100"/>
        <c:minorUnit val="100"/>
      </c:valAx>
      <c:valAx>
        <c:axId val="107518208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516288"/>
        <c:crosses val="autoZero"/>
        <c:crossBetween val="midCat"/>
        <c:majorUnit val="50"/>
        <c:minorUnit val="1"/>
      </c:valAx>
      <c:valAx>
        <c:axId val="107540864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542784"/>
        <c:crosses val="max"/>
        <c:crossBetween val="midCat"/>
        <c:majorUnit val="20"/>
      </c:valAx>
      <c:valAx>
        <c:axId val="1075427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75408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'300069G4'!$N$39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'300069G4'!$O$39:$O$40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'300069G4'!$P$39:$P$40</c:f>
              <c:numCache>
                <c:formatCode>0.0</c:formatCode>
                <c:ptCount val="2"/>
                <c:pt idx="0">
                  <c:v>0</c:v>
                </c:pt>
                <c:pt idx="1">
                  <c:v>9.8860276078022853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'300069G4'!$N$37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'300069G4'!$O$37:$O$38</c:f>
              <c:numCache>
                <c:formatCode>0</c:formatCode>
                <c:ptCount val="2"/>
                <c:pt idx="0">
                  <c:v>0</c:v>
                </c:pt>
                <c:pt idx="1">
                  <c:v>664.28571428571433</c:v>
                </c:pt>
              </c:numCache>
            </c:numRef>
          </c:xVal>
          <c:yVal>
            <c:numRef>
              <c:f>'300069G4'!$P$37:$P$38</c:f>
              <c:numCache>
                <c:formatCode>0.0</c:formatCode>
                <c:ptCount val="2"/>
                <c:pt idx="0">
                  <c:v>0</c:v>
                </c:pt>
                <c:pt idx="1">
                  <c:v>10.188412825007957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'300069G4'!$N$35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'300069G4'!$O$35:$O$36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'300069G4'!$P$35:$P$36</c:f>
              <c:numCache>
                <c:formatCode>0.0</c:formatCode>
                <c:ptCount val="2"/>
                <c:pt idx="0">
                  <c:v>0</c:v>
                </c:pt>
                <c:pt idx="1">
                  <c:v>8.5361967379122099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'300069G4'!$N$33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'300069G4'!$O$33:$O$34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'300069G4'!$P$33:$P$34</c:f>
              <c:numCache>
                <c:formatCode>0.0</c:formatCode>
                <c:ptCount val="2"/>
                <c:pt idx="0">
                  <c:v>0</c:v>
                </c:pt>
                <c:pt idx="1">
                  <c:v>6.5582967379122099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'300069G4'!$N$31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'300069G4'!$O$31:$O$32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'300069G4'!$P$31:$P$32</c:f>
              <c:numCache>
                <c:formatCode>0.0</c:formatCode>
                <c:ptCount val="2"/>
                <c:pt idx="0">
                  <c:v>0</c:v>
                </c:pt>
                <c:pt idx="1">
                  <c:v>4.580396737912209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'300069G4'!$N$29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'300069G4'!$O$29:$O$30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'300069G4'!$P$29:$P$30</c:f>
              <c:numCache>
                <c:formatCode>0.0</c:formatCode>
                <c:ptCount val="2"/>
                <c:pt idx="0">
                  <c:v>0</c:v>
                </c:pt>
                <c:pt idx="1">
                  <c:v>2.6024967379122099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'300069G4'!$N$27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'300069G4'!$P$27:$P$28</c:f>
              <c:numCache>
                <c:formatCode>0.0</c:formatCode>
                <c:ptCount val="2"/>
                <c:pt idx="0">
                  <c:v>0</c:v>
                </c:pt>
                <c:pt idx="1">
                  <c:v>1.6135467379122099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98592"/>
        <c:axId val="10760051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'300069G4'!$P$23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16192"/>
        <c:axId val="107414272"/>
      </c:scatterChart>
      <c:valAx>
        <c:axId val="10759859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600512"/>
        <c:crossesAt val="0"/>
        <c:crossBetween val="midCat"/>
        <c:majorUnit val="100"/>
        <c:minorUnit val="100"/>
      </c:valAx>
      <c:valAx>
        <c:axId val="10760051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598592"/>
        <c:crosses val="autoZero"/>
        <c:crossBetween val="midCat"/>
        <c:majorUnit val="1"/>
        <c:minorUnit val="1"/>
      </c:valAx>
      <c:valAx>
        <c:axId val="107414272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416192"/>
        <c:crosses val="max"/>
        <c:crossBetween val="midCat"/>
        <c:majorUnit val="2"/>
      </c:valAx>
      <c:valAx>
        <c:axId val="107416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4142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'300069G5'!$O$1:$O$2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'300069G5'!$P$1:$P$2</c:f>
              <c:numCache>
                <c:formatCode>General</c:formatCode>
                <c:ptCount val="2"/>
                <c:pt idx="0">
                  <c:v>0</c:v>
                </c:pt>
                <c:pt idx="1">
                  <c:v>520.5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'300069G5'!$O$3:$O$5</c:f>
              <c:numCache>
                <c:formatCode>General</c:formatCode>
                <c:ptCount val="3"/>
                <c:pt idx="0">
                  <c:v>90.553180829615314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'300069G5'!$P$3:$P$5</c:f>
              <c:numCache>
                <c:formatCode>General</c:formatCode>
                <c:ptCount val="3"/>
                <c:pt idx="0">
                  <c:v>0</c:v>
                </c:pt>
                <c:pt idx="1">
                  <c:v>318.85609250424693</c:v>
                </c:pt>
                <c:pt idx="2">
                  <c:v>468.49548243106386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'300069G5'!$O$7:$O$8</c:f>
              <c:numCache>
                <c:formatCode>General</c:formatCode>
                <c:ptCount val="2"/>
                <c:pt idx="0">
                  <c:v>11.47683751230079</c:v>
                </c:pt>
                <c:pt idx="1">
                  <c:v>750</c:v>
                </c:pt>
              </c:numCache>
            </c:numRef>
          </c:xVal>
          <c:yVal>
            <c:numRef>
              <c:f>'300069G5'!$P$7:$P$8</c:f>
              <c:numCache>
                <c:formatCode>General</c:formatCode>
                <c:ptCount val="2"/>
                <c:pt idx="0">
                  <c:v>0</c:v>
                </c:pt>
                <c:pt idx="1">
                  <c:v>512.53507476646325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'300069G5'!$O$6</c:f>
              <c:numCache>
                <c:formatCode>0</c:formatCode>
                <c:ptCount val="1"/>
                <c:pt idx="0">
                  <c:v>106</c:v>
                </c:pt>
              </c:numCache>
            </c:numRef>
          </c:xVal>
          <c:yVal>
            <c:numRef>
              <c:f>'300069G5'!$P$6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83232"/>
        <c:axId val="10798515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'300069G5'!$O$9:$O$10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'300069G5'!$P$9:$P$10</c:f>
              <c:numCache>
                <c:formatCode>General</c:formatCode>
                <c:ptCount val="2"/>
                <c:pt idx="0">
                  <c:v>0</c:v>
                </c:pt>
                <c:pt idx="1">
                  <c:v>114.49394336938188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91424"/>
        <c:axId val="107992960"/>
      </c:scatterChart>
      <c:valAx>
        <c:axId val="10798323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985152"/>
        <c:crossesAt val="0"/>
        <c:crossBetween val="midCat"/>
        <c:majorUnit val="100"/>
      </c:valAx>
      <c:valAx>
        <c:axId val="107985152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983232"/>
        <c:crosses val="autoZero"/>
        <c:crossBetween val="midCat"/>
        <c:majorUnit val="50"/>
        <c:minorUnit val="10"/>
      </c:valAx>
      <c:valAx>
        <c:axId val="10799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992960"/>
        <c:crosses val="autoZero"/>
        <c:crossBetween val="midCat"/>
      </c:valAx>
      <c:valAx>
        <c:axId val="107992960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991424"/>
        <c:crosses val="max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'100005G4'!$N$28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64.400000000000006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'100005G4'!$N$30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'100005G4'!$Q$29:$Q$30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'100005G4'!$N$32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'100005G4'!$Q$31:$Q$32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'100005G4'!$Q$33:$Q$34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'100005G4'!$N$36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'100005G4'!$Q$35:$Q$36</c:f>
              <c:strCache>
                <c:ptCount val="2"/>
                <c:pt idx="0">
                  <c:v>N/A</c:v>
                </c:pt>
                <c:pt idx="1">
                  <c:v>1400</c:v>
                </c:pt>
              </c:strCache>
            </c:strRef>
          </c:xVal>
          <c:yVal>
            <c:numRef>
              <c:f>'100005G4'!$R$35:$R$36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'100005G4'!$N$38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'100005G4'!$Q$37:$Q$38</c:f>
              <c:strCache>
                <c:ptCount val="2"/>
                <c:pt idx="0">
                  <c:v>N/A</c:v>
                </c:pt>
                <c:pt idx="1">
                  <c:v>1229</c:v>
                </c:pt>
              </c:strCache>
            </c:strRef>
          </c:xVal>
          <c:yVal>
            <c:numRef>
              <c:f>'100005G4'!$R$37:$R$38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'100005G4'!$N$40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'100005G4'!$Q$39:$Q$40</c:f>
              <c:numCache>
                <c:formatCode>0</c:formatCode>
                <c:ptCount val="2"/>
                <c:pt idx="0">
                  <c:v>210.46426796841456</c:v>
                </c:pt>
                <c:pt idx="1">
                  <c:v>1000</c:v>
                </c:pt>
              </c:numCache>
            </c:numRef>
          </c:xVal>
          <c:yVal>
            <c:numRef>
              <c:f>'100005G4'!$R$39:$R$40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36.318643673452932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96288"/>
        <c:axId val="8080665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'100005G4'!$P$36</c:f>
              <c:numCache>
                <c:formatCode>0.0</c:formatCode>
                <c:ptCount val="1"/>
                <c:pt idx="0">
                  <c:v>1.7635281066469191</c:v>
                </c:pt>
              </c:numCache>
            </c:numRef>
          </c:xVal>
          <c:yVal>
            <c:numRef>
              <c:f>'100005G4'!$P$22</c:f>
              <c:numCache>
                <c:formatCode>0.00</c:formatCode>
                <c:ptCount val="1"/>
                <c:pt idx="0">
                  <c:v>18.492042609892927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14848"/>
        <c:axId val="80808576"/>
      </c:scatterChart>
      <c:valAx>
        <c:axId val="8079628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806656"/>
        <c:crossesAt val="0"/>
        <c:crossBetween val="midCat"/>
        <c:majorUnit val="200"/>
        <c:minorUnit val="100"/>
      </c:valAx>
      <c:valAx>
        <c:axId val="80806656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796288"/>
        <c:crosses val="autoZero"/>
        <c:crossBetween val="midCat"/>
        <c:majorUnit val="10"/>
        <c:minorUnit val="1"/>
      </c:valAx>
      <c:valAx>
        <c:axId val="80808576"/>
        <c:scaling>
          <c:orientation val="minMax"/>
          <c:max val="18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814848"/>
        <c:crosses val="max"/>
        <c:crossBetween val="midCat"/>
        <c:majorUnit val="2"/>
      </c:valAx>
      <c:valAx>
        <c:axId val="808148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808085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5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'300069G5'!$O$41</c:f>
              <c:numCache>
                <c:formatCode>0</c:formatCode>
                <c:ptCount val="1"/>
                <c:pt idx="0">
                  <c:v>106</c:v>
                </c:pt>
              </c:numCache>
            </c:numRef>
          </c:xVal>
          <c:yVal>
            <c:numRef>
              <c:f>'300069G5'!$P$42</c:f>
              <c:numCache>
                <c:formatCode>0.00</c:formatCode>
                <c:ptCount val="1"/>
                <c:pt idx="0">
                  <c:v>2.0230759735585884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5.0229056010808346</c:v>
              </c:pt>
              <c:pt idx="1">
                <c:v>7.9184988463659636</c:v>
              </c:pt>
              <c:pt idx="2">
                <c:v>11.641404447446821</c:v>
              </c:pt>
              <c:pt idx="3">
                <c:v>16.191622404323422</c:v>
              </c:pt>
              <c:pt idx="4">
                <c:v>21.56915271699577</c:v>
              </c:pt>
              <c:pt idx="5">
                <c:v>27.77399538546387</c:v>
              </c:pt>
              <c:pt idx="6">
                <c:v>34.806150409727437</c:v>
              </c:pt>
              <c:pt idx="7">
                <c:v>42.665617789787277</c:v>
              </c:pt>
              <c:pt idx="8">
                <c:v>51.352397525641912</c:v>
              </c:pt>
              <c:pt idx="9">
                <c:v>60.866489617292977</c:v>
              </c:pt>
              <c:pt idx="10">
                <c:v>71.207894064740813</c:v>
              </c:pt>
              <c:pt idx="11">
                <c:v>82.376610867983075</c:v>
              </c:pt>
              <c:pt idx="12">
                <c:v>94.372640027020424</c:v>
              </c:pt>
              <c:pt idx="13">
                <c:v>107.1959815418554</c:v>
              </c:pt>
              <c:pt idx="14">
                <c:v>120.8466354124844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1.8880206218581621</c:v>
              </c:pt>
              <c:pt idx="1">
                <c:v>2.3453699944144981</c:v>
              </c:pt>
              <c:pt idx="2">
                <c:v>2.9333906162726802</c:v>
              </c:pt>
              <c:pt idx="3">
                <c:v>3.6520824874326472</c:v>
              </c:pt>
              <c:pt idx="4">
                <c:v>4.50144560789444</c:v>
              </c:pt>
              <c:pt idx="5">
                <c:v>5.4814799776580418</c:v>
              </c:pt>
              <c:pt idx="6">
                <c:v>6.5921855967234038</c:v>
              </c:pt>
              <c:pt idx="7">
                <c:v>7.8335624650907034</c:v>
              </c:pt>
              <c:pt idx="8">
                <c:v>9.2056105827597374</c:v>
              </c:pt>
              <c:pt idx="9">
                <c:v>10.70832994973046</c:v>
              </c:pt>
              <c:pt idx="10">
                <c:v>12.34172056600327</c:v>
              </c:pt>
              <c:pt idx="11">
                <c:v>14.10578243157776</c:v>
              </c:pt>
              <c:pt idx="12">
                <c:v>16.000515546454061</c:v>
              </c:pt>
              <c:pt idx="13">
                <c:v>18.025919910632169</c:v>
              </c:pt>
              <c:pt idx="14">
                <c:v>20.181995524112239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3.554910241097502</c:v>
              </c:pt>
              <c:pt idx="1">
                <c:v>5.3087293175066126</c:v>
              </c:pt>
              <c:pt idx="2">
                <c:v>7.5636395586040814</c:v>
              </c:pt>
              <c:pt idx="3">
                <c:v>10.319640964389979</c:v>
              </c:pt>
              <c:pt idx="4">
                <c:v>13.57673353486412</c:v>
              </c:pt>
              <c:pt idx="5">
                <c:v>17.334917270026459</c:v>
              </c:pt>
              <c:pt idx="6">
                <c:v>21.594192169877228</c:v>
              </c:pt>
              <c:pt idx="7">
                <c:v>26.354558234416331</c:v>
              </c:pt>
              <c:pt idx="8">
                <c:v>31.616015463643951</c:v>
              </c:pt>
              <c:pt idx="9">
                <c:v>37.378563857559513</c:v>
              </c:pt>
              <c:pt idx="10">
                <c:v>43.642203416163568</c:v>
              </c:pt>
              <c:pt idx="11">
                <c:v>50.406934139456013</c:v>
              </c:pt>
              <c:pt idx="12">
                <c:v>57.672756027436733</c:v>
              </c:pt>
              <c:pt idx="13">
                <c:v>65.439669080106881</c:v>
              </c:pt>
              <c:pt idx="14">
                <c:v>73.707673297463202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1.754391631728454</c:v>
              </c:pt>
              <c:pt idx="1">
                <c:v>2.1078073452950412</c:v>
              </c:pt>
              <c:pt idx="2">
                <c:v>2.5621989770234852</c:v>
              </c:pt>
              <c:pt idx="3">
                <c:v>3.1175665269138202</c:v>
              </c:pt>
              <c:pt idx="4">
                <c:v>3.7739099949660342</c:v>
              </c:pt>
              <c:pt idx="5">
                <c:v>4.5312293811802133</c:v>
              </c:pt>
              <c:pt idx="6">
                <c:v>5.3895246855560943</c:v>
              </c:pt>
              <c:pt idx="7">
                <c:v>6.3487959080939396</c:v>
              </c:pt>
              <c:pt idx="8">
                <c:v>7.4090430487937198</c:v>
              </c:pt>
              <c:pt idx="9">
                <c:v>8.5702661076552786</c:v>
              </c:pt>
              <c:pt idx="10">
                <c:v>9.8324650846787645</c:v>
              </c:pt>
              <c:pt idx="11">
                <c:v>11.195639979864261</c:v>
              </c:pt>
              <c:pt idx="12">
                <c:v>12.65979079321137</c:v>
              </c:pt>
              <c:pt idx="13">
                <c:v>14.224917524720491</c:v>
              </c:pt>
              <c:pt idx="14">
                <c:v>15.8910201743915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2.7117683135193591</c:v>
              </c:pt>
              <c:pt idx="1">
                <c:v>3.8098103351455381</c:v>
              </c:pt>
              <c:pt idx="2">
                <c:v>5.2215786486649076</c:v>
              </c:pt>
              <c:pt idx="3">
                <c:v>6.9470732540774716</c:v>
              </c:pt>
              <c:pt idx="4">
                <c:v>8.9862941513832268</c:v>
              </c:pt>
              <c:pt idx="5">
                <c:v>11.33924134058217</c:v>
              </c:pt>
              <c:pt idx="6">
                <c:v>14.00591482167432</c:v>
              </c:pt>
              <c:pt idx="7">
                <c:v>16.986314594659589</c:v>
              </c:pt>
              <c:pt idx="8">
                <c:v>20.280440659537948</c:v>
              </c:pt>
              <c:pt idx="9">
                <c:v>23.888293016309721</c:v>
              </c:pt>
              <c:pt idx="10">
                <c:v>27.809871664974839</c:v>
              </c:pt>
              <c:pt idx="11">
                <c:v>32.045176605532909</c:v>
              </c:pt>
              <c:pt idx="12">
                <c:v>36.5942078379842</c:v>
              </c:pt>
              <c:pt idx="13">
                <c:v>41.456965362328702</c:v>
              </c:pt>
              <c:pt idx="14">
                <c:v>46.633449178566337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1.6238364208465159</c:v>
              </c:pt>
              <c:pt idx="1">
                <c:v>1.875709192616027</c:v>
              </c:pt>
              <c:pt idx="2">
                <c:v>2.1995456134625382</c:v>
              </c:pt>
              <c:pt idx="3">
                <c:v>2.5953456833860389</c:v>
              </c:pt>
              <c:pt idx="4">
                <c:v>3.0631094023865848</c:v>
              </c:pt>
              <c:pt idx="5">
                <c:v>3.6028367704641071</c:v>
              </c:pt>
              <c:pt idx="6">
                <c:v>4.2145277876186356</c:v>
              </c:pt>
              <c:pt idx="7">
                <c:v>4.8981824538501684</c:v>
              </c:pt>
              <c:pt idx="8">
                <c:v>5.6538007691586927</c:v>
              </c:pt>
              <c:pt idx="9">
                <c:v>6.4813827335442902</c:v>
              </c:pt>
              <c:pt idx="10">
                <c:v>7.3809283470067646</c:v>
              </c:pt>
              <c:pt idx="11">
                <c:v>8.3524376095465094</c:v>
              </c:pt>
              <c:pt idx="12">
                <c:v>9.3959105211628771</c:v>
              </c:pt>
              <c:pt idx="13">
                <c:v>10.5113470818564</c:v>
              </c:pt>
              <c:pt idx="14">
                <c:v>11.698747291627001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2.1206822071183802</c:v>
              </c:pt>
              <c:pt idx="1">
                <c:v>2.7589905904326808</c:v>
              </c:pt>
              <c:pt idx="2">
                <c:v>3.5796727975510549</c:v>
              </c:pt>
              <c:pt idx="3">
                <c:v>4.5827288284735186</c:v>
              </c:pt>
              <c:pt idx="4">
                <c:v>5.7681586832000704</c:v>
              </c:pt>
              <c:pt idx="5">
                <c:v>7.1359623617307024</c:v>
              </c:pt>
              <c:pt idx="6">
                <c:v>8.6861398640654208</c:v>
              </c:pt>
              <c:pt idx="7">
                <c:v>10.418691190204219</c:v>
              </c:pt>
              <c:pt idx="8">
                <c:v>12.33361634014712</c:v>
              </c:pt>
              <c:pt idx="9">
                <c:v>14.430915313894079</c:v>
              </c:pt>
              <c:pt idx="10">
                <c:v>16.71058811144513</c:v>
              </c:pt>
              <c:pt idx="11">
                <c:v>19.172634732800269</c:v>
              </c:pt>
              <c:pt idx="12">
                <c:v>21.817055177959741</c:v>
              </c:pt>
              <c:pt idx="13">
                <c:v>24.64384944692279</c:v>
              </c:pt>
              <c:pt idx="14">
                <c:v>27.6530175396902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1.5753300395731979</c:v>
              </c:pt>
              <c:pt idx="1">
                <c:v>1.789475625907907</c:v>
              </c:pt>
              <c:pt idx="2">
                <c:v>2.0648056654811051</c:v>
              </c:pt>
              <c:pt idx="3">
                <c:v>2.4013201582928012</c:v>
              </c:pt>
              <c:pt idx="4">
                <c:v>2.7990191043429649</c:v>
              </c:pt>
              <c:pt idx="5">
                <c:v>3.257902503631628</c:v>
              </c:pt>
              <c:pt idx="6">
                <c:v>3.7779703561587801</c:v>
              </c:pt>
              <c:pt idx="7">
                <c:v>4.3592226619244183</c:v>
              </c:pt>
              <c:pt idx="8">
                <c:v>5.0016594209285534</c:v>
              </c:pt>
              <c:pt idx="9">
                <c:v>5.7052806331711734</c:v>
              </c:pt>
              <c:pt idx="10">
                <c:v>6.4700862986522703</c:v>
              </c:pt>
              <c:pt idx="11">
                <c:v>7.2960764173718724</c:v>
              </c:pt>
              <c:pt idx="12">
                <c:v>8.1832509893299505</c:v>
              </c:pt>
              <c:pt idx="13">
                <c:v>9.1316100145265118</c:v>
              </c:pt>
              <c:pt idx="14">
                <c:v>10.141153492961459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73472"/>
        <c:axId val="107675648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96128"/>
        <c:axId val="107677568"/>
      </c:scatterChart>
      <c:valAx>
        <c:axId val="10767347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675648"/>
        <c:crosses val="autoZero"/>
        <c:crossBetween val="midCat"/>
        <c:majorUnit val="100"/>
      </c:valAx>
      <c:valAx>
        <c:axId val="10767564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673472"/>
        <c:crosses val="autoZero"/>
        <c:crossBetween val="midCat"/>
        <c:majorUnit val="1"/>
      </c:valAx>
      <c:valAx>
        <c:axId val="107677568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7696128"/>
        <c:crosses val="max"/>
        <c:crossBetween val="midCat"/>
      </c:valAx>
      <c:valAx>
        <c:axId val="10769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677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'300069G6'!$N$28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520.5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'300069G6'!$N$30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'300069G6'!$Q$29:$Q$30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'300069G6'!$N$32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'300069G6'!$Q$31:$Q$32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'300069G6'!$Q$33:$Q$34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'300069G6'!$N$36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'300069G6'!$Q$35:$Q$36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'300069G6'!$R$35:$R$36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'300069G6'!$N$38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'300069G6'!$Q$37:$Q$38</c:f>
              <c:strCache>
                <c:ptCount val="2"/>
                <c:pt idx="0">
                  <c:v>N/A</c:v>
                </c:pt>
                <c:pt idx="1">
                  <c:v>664</c:v>
                </c:pt>
              </c:strCache>
            </c:strRef>
          </c:xVal>
          <c:yVal>
            <c:numRef>
              <c:f>'300069G6'!$R$37:$R$38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'300069G6'!$N$40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'300069G6'!$Q$39:$Q$40</c:f>
              <c:numCache>
                <c:formatCode>0</c:formatCode>
                <c:ptCount val="2"/>
                <c:pt idx="0">
                  <c:v>90.5531808296154</c:v>
                </c:pt>
                <c:pt idx="1">
                  <c:v>550</c:v>
                </c:pt>
              </c:numCache>
            </c:numRef>
          </c:xVal>
          <c:yVal>
            <c:numRef>
              <c:f>'300069G6'!$R$39:$R$40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318.85609250424693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59328"/>
        <c:axId val="10800486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'300069G6'!$P$36</c:f>
              <c:numCache>
                <c:formatCode>0.0</c:formatCode>
                <c:ptCount val="1"/>
                <c:pt idx="0">
                  <c:v>8.5361967379122099</c:v>
                </c:pt>
              </c:numCache>
            </c:numRef>
          </c:xVal>
          <c:yVal>
            <c:numRef>
              <c:f>'300069G6'!$P$22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13056"/>
        <c:axId val="108006784"/>
      </c:scatterChart>
      <c:valAx>
        <c:axId val="107859328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004864"/>
        <c:crossesAt val="0"/>
        <c:crossBetween val="midCat"/>
        <c:majorUnit val="100"/>
        <c:minorUnit val="100"/>
      </c:valAx>
      <c:valAx>
        <c:axId val="108004864"/>
        <c:scaling>
          <c:orientation val="minMax"/>
          <c:max val="5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7859328"/>
        <c:crosses val="autoZero"/>
        <c:crossBetween val="midCat"/>
        <c:majorUnit val="50"/>
        <c:minorUnit val="1"/>
      </c:valAx>
      <c:valAx>
        <c:axId val="108006784"/>
        <c:scaling>
          <c:orientation val="minMax"/>
          <c:max val="145.3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013056"/>
        <c:crosses val="max"/>
        <c:crossBetween val="midCat"/>
        <c:majorUnit val="20"/>
      </c:valAx>
      <c:valAx>
        <c:axId val="1080130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80067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'300069G6'!$N$39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'300069G6'!$O$39:$O$40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'300069G6'!$P$39:$P$40</c:f>
              <c:numCache>
                <c:formatCode>0.0</c:formatCode>
                <c:ptCount val="2"/>
                <c:pt idx="0">
                  <c:v>0</c:v>
                </c:pt>
                <c:pt idx="1">
                  <c:v>9.8860276078022853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'300069G6'!$N$37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'300069G6'!$O$37:$O$38</c:f>
              <c:numCache>
                <c:formatCode>0</c:formatCode>
                <c:ptCount val="2"/>
                <c:pt idx="0">
                  <c:v>0</c:v>
                </c:pt>
                <c:pt idx="1">
                  <c:v>664.28571428571433</c:v>
                </c:pt>
              </c:numCache>
            </c:numRef>
          </c:xVal>
          <c:yVal>
            <c:numRef>
              <c:f>'300069G6'!$P$37:$P$38</c:f>
              <c:numCache>
                <c:formatCode>0.0</c:formatCode>
                <c:ptCount val="2"/>
                <c:pt idx="0">
                  <c:v>0</c:v>
                </c:pt>
                <c:pt idx="1">
                  <c:v>10.188412825007957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'300069G6'!$N$35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'300069G6'!$O$35:$O$36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'300069G6'!$P$35:$P$36</c:f>
              <c:numCache>
                <c:formatCode>0.0</c:formatCode>
                <c:ptCount val="2"/>
                <c:pt idx="0">
                  <c:v>0</c:v>
                </c:pt>
                <c:pt idx="1">
                  <c:v>8.5361967379122099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'300069G6'!$N$33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'300069G6'!$O$33:$O$34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'300069G6'!$P$33:$P$34</c:f>
              <c:numCache>
                <c:formatCode>0.0</c:formatCode>
                <c:ptCount val="2"/>
                <c:pt idx="0">
                  <c:v>0</c:v>
                </c:pt>
                <c:pt idx="1">
                  <c:v>6.5582967379122099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'300069G6'!$N$31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'300069G6'!$O$31:$O$32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'300069G6'!$P$31:$P$32</c:f>
              <c:numCache>
                <c:formatCode>0.0</c:formatCode>
                <c:ptCount val="2"/>
                <c:pt idx="0">
                  <c:v>0</c:v>
                </c:pt>
                <c:pt idx="1">
                  <c:v>4.580396737912209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'300069G6'!$N$29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'300069G6'!$O$29:$O$30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'300069G6'!$P$29:$P$30</c:f>
              <c:numCache>
                <c:formatCode>0.0</c:formatCode>
                <c:ptCount val="2"/>
                <c:pt idx="0">
                  <c:v>0</c:v>
                </c:pt>
                <c:pt idx="1">
                  <c:v>2.6024967379122099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'300069G6'!$N$27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'300069G6'!$O$27:$O$28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'300069G6'!$P$27:$P$28</c:f>
              <c:numCache>
                <c:formatCode>0.0</c:formatCode>
                <c:ptCount val="2"/>
                <c:pt idx="0">
                  <c:v>0</c:v>
                </c:pt>
                <c:pt idx="1">
                  <c:v>1.6135467379122099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68864"/>
        <c:axId val="10807078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'300069G6'!$O$23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'300069G6'!$P$23</c:f>
              <c:numCache>
                <c:formatCode>0.00</c:formatCode>
                <c:ptCount val="1"/>
                <c:pt idx="0">
                  <c:v>16.092264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7168"/>
        <c:axId val="108085248"/>
      </c:scatterChart>
      <c:valAx>
        <c:axId val="108068864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070784"/>
        <c:crossesAt val="0"/>
        <c:crossBetween val="midCat"/>
        <c:majorUnit val="100"/>
        <c:minorUnit val="100"/>
      </c:valAx>
      <c:valAx>
        <c:axId val="10807078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068864"/>
        <c:crosses val="autoZero"/>
        <c:crossBetween val="midCat"/>
        <c:majorUnit val="1"/>
        <c:minorUnit val="1"/>
      </c:valAx>
      <c:valAx>
        <c:axId val="108085248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087168"/>
        <c:crosses val="max"/>
        <c:crossBetween val="midCat"/>
        <c:majorUnit val="2"/>
      </c:valAx>
      <c:valAx>
        <c:axId val="10808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80852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'300113G1'!$O$1:$O$2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'300113G1'!$P$1:$P$2</c:f>
              <c:numCache>
                <c:formatCode>General</c:formatCode>
                <c:ptCount val="2"/>
                <c:pt idx="0">
                  <c:v>0</c:v>
                </c:pt>
                <c:pt idx="1">
                  <c:v>843.75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'300113G1'!$O$3:$O$5</c:f>
              <c:numCache>
                <c:formatCode>General</c:formatCode>
                <c:ptCount val="3"/>
                <c:pt idx="0">
                  <c:v>15.247565178352261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'300113G1'!$P$3:$P$5</c:f>
              <c:numCache>
                <c:formatCode>General</c:formatCode>
                <c:ptCount val="3"/>
                <c:pt idx="0">
                  <c:v>0</c:v>
                </c:pt>
                <c:pt idx="1">
                  <c:v>601.59648917435368</c:v>
                </c:pt>
                <c:pt idx="2">
                  <c:v>828.92582200971822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'300113G1'!$O$7:$O$8</c:f>
              <c:numCache>
                <c:formatCode>General</c:formatCode>
                <c:ptCount val="2"/>
                <c:pt idx="0">
                  <c:v>11.092463007055926</c:v>
                </c:pt>
                <c:pt idx="1">
                  <c:v>750</c:v>
                </c:pt>
              </c:numCache>
            </c:numRef>
          </c:xVal>
          <c:yVal>
            <c:numRef>
              <c:f>'300113G1'!$P$7:$P$8</c:f>
              <c:numCache>
                <c:formatCode>General</c:formatCode>
                <c:ptCount val="2"/>
                <c:pt idx="0">
                  <c:v>0</c:v>
                </c:pt>
                <c:pt idx="1">
                  <c:v>831.2709791170621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'300113G1'!$O$6</c:f>
              <c:numCache>
                <c:formatCode>0</c:formatCode>
                <c:ptCount val="1"/>
                <c:pt idx="0">
                  <c:v>70</c:v>
                </c:pt>
              </c:numCache>
            </c:numRef>
          </c:xVal>
          <c:yVal>
            <c:numRef>
              <c:f>'300113G1'!$P$6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61888"/>
        <c:axId val="10626816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'300113G1'!$O$9:$O$10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'300113G1'!$P$9:$P$10</c:f>
              <c:numCache>
                <c:formatCode>General</c:formatCode>
                <c:ptCount val="2"/>
                <c:pt idx="0">
                  <c:v>0</c:v>
                </c:pt>
                <c:pt idx="1">
                  <c:v>185.5989716002228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70080"/>
        <c:axId val="106284160"/>
      </c:scatterChart>
      <c:valAx>
        <c:axId val="106261888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268160"/>
        <c:crossesAt val="0"/>
        <c:crossBetween val="midCat"/>
        <c:majorUnit val="100"/>
      </c:valAx>
      <c:valAx>
        <c:axId val="106268160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261888"/>
        <c:crosses val="autoZero"/>
        <c:crossBetween val="midCat"/>
        <c:majorUnit val="100"/>
        <c:minorUnit val="10"/>
      </c:valAx>
      <c:valAx>
        <c:axId val="10627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84160"/>
        <c:crosses val="autoZero"/>
        <c:crossBetween val="midCat"/>
      </c:valAx>
      <c:valAx>
        <c:axId val="106284160"/>
        <c:scaling>
          <c:orientation val="minMax"/>
          <c:max val="237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270080"/>
        <c:crosses val="max"/>
        <c:crossBetween val="midCat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'300113G1'!$O$41</c:f>
              <c:numCache>
                <c:formatCode>0</c:formatCode>
                <c:ptCount val="1"/>
                <c:pt idx="0">
                  <c:v>70</c:v>
                </c:pt>
              </c:numCache>
            </c:numRef>
          </c:xVal>
          <c:yVal>
            <c:numRef>
              <c:f>'300113G1'!$P$42</c:f>
              <c:numCache>
                <c:formatCode>0.00</c:formatCode>
                <c:ptCount val="1"/>
                <c:pt idx="0">
                  <c:v>1.6736563179670525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2.9770748380537468</c:v>
              </c:pt>
              <c:pt idx="1">
                <c:v>4.281466378762218</c:v>
              </c:pt>
              <c:pt idx="2">
                <c:v>5.9585412168159646</c:v>
              </c:pt>
              <c:pt idx="3">
                <c:v>8.0082993522149906</c:v>
              </c:pt>
              <c:pt idx="4">
                <c:v>10.430740784959299</c:v>
              </c:pt>
              <c:pt idx="5">
                <c:v>13.22586551504887</c:v>
              </c:pt>
              <c:pt idx="6">
                <c:v>16.393673542483729</c:v>
              </c:pt>
              <c:pt idx="7">
                <c:v>19.93416486726386</c:v>
              </c:pt>
              <c:pt idx="8">
                <c:v>23.847339489389181</c:v>
              </c:pt>
              <c:pt idx="9">
                <c:v>28.133197408860031</c:v>
              </c:pt>
              <c:pt idx="10">
                <c:v>32.791738625676011</c:v>
              </c:pt>
              <c:pt idx="11">
                <c:v>37.822963139837157</c:v>
              </c:pt>
              <c:pt idx="12">
                <c:v>43.226870951343393</c:v>
              </c:pt>
              <c:pt idx="13">
                <c:v>49.003462060195467</c:v>
              </c:pt>
              <c:pt idx="14">
                <c:v>55.152736466392192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1.6295069262297259</c:v>
              </c:pt>
              <c:pt idx="1">
                <c:v>1.885790091075062</c:v>
              </c:pt>
              <c:pt idx="2">
                <c:v>2.2152970173047839</c:v>
              </c:pt>
              <c:pt idx="3">
                <c:v>2.6180277049188878</c:v>
              </c:pt>
              <c:pt idx="4">
                <c:v>3.0939821539173802</c:v>
              </c:pt>
              <c:pt idx="5">
                <c:v>3.6431603643002481</c:v>
              </c:pt>
              <c:pt idx="6">
                <c:v>4.2655623360674646</c:v>
              </c:pt>
              <c:pt idx="7">
                <c:v>4.9611880692191352</c:v>
              </c:pt>
              <c:pt idx="8">
                <c:v>5.7300375637551486</c:v>
              </c:pt>
              <c:pt idx="9">
                <c:v>6.5721108196755003</c:v>
              </c:pt>
              <c:pt idx="10">
                <c:v>7.4874078369803376</c:v>
              </c:pt>
              <c:pt idx="11">
                <c:v>8.4759286156695044</c:v>
              </c:pt>
              <c:pt idx="12">
                <c:v>9.5376731557430521</c:v>
              </c:pt>
              <c:pt idx="13">
                <c:v>10.67264145720101</c:v>
              </c:pt>
              <c:pt idx="14">
                <c:v>11.88083352004338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2.3460394236983699</c:v>
              </c:pt>
              <c:pt idx="1">
                <c:v>3.15962564213048</c:v>
              </c:pt>
              <c:pt idx="2">
                <c:v>4.2056650658288834</c:v>
              </c:pt>
              <c:pt idx="3">
                <c:v>5.4841576947935824</c:v>
              </c:pt>
              <c:pt idx="4">
                <c:v>6.9951035290245827</c:v>
              </c:pt>
              <c:pt idx="5">
                <c:v>8.7385025685219038</c:v>
              </c:pt>
              <c:pt idx="6">
                <c:v>10.71435481328554</c:v>
              </c:pt>
              <c:pt idx="7">
                <c:v>12.922660263315469</c:v>
              </c:pt>
              <c:pt idx="8">
                <c:v>15.36341891861173</c:v>
              </c:pt>
              <c:pt idx="9">
                <c:v>18.036630779174189</c:v>
              </c:pt>
              <c:pt idx="10">
                <c:v>20.942295845002981</c:v>
              </c:pt>
              <c:pt idx="11">
                <c:v>24.080414116098328</c:v>
              </c:pt>
              <c:pt idx="12">
                <c:v>27.45098559245983</c:v>
              </c:pt>
              <c:pt idx="13">
                <c:v>31.05401027408762</c:v>
              </c:pt>
              <c:pt idx="14">
                <c:v>34.88948816098172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1.5720649019188759</c:v>
              </c:pt>
              <c:pt idx="1">
                <c:v>1.783670936744653</c:v>
              </c:pt>
              <c:pt idx="2">
                <c:v>2.0557358386635212</c:v>
              </c:pt>
              <c:pt idx="3">
                <c:v>2.3882596076754692</c:v>
              </c:pt>
              <c:pt idx="4">
                <c:v>2.7812422437805</c:v>
              </c:pt>
              <c:pt idx="5">
                <c:v>3.2346837469786212</c:v>
              </c:pt>
              <c:pt idx="6">
                <c:v>3.7485841172698078</c:v>
              </c:pt>
              <c:pt idx="7">
                <c:v>4.3229433546540816</c:v>
              </c:pt>
              <c:pt idx="8">
                <c:v>4.957761459131441</c:v>
              </c:pt>
              <c:pt idx="9">
                <c:v>5.6530384307018791</c:v>
              </c:pt>
              <c:pt idx="10">
                <c:v>6.4087742693653764</c:v>
              </c:pt>
              <c:pt idx="11">
                <c:v>7.2249689751220014</c:v>
              </c:pt>
              <c:pt idx="12">
                <c:v>8.1016225479716883</c:v>
              </c:pt>
              <c:pt idx="13">
                <c:v>9.0387349879144487</c:v>
              </c:pt>
              <c:pt idx="14">
                <c:v>10.0363062949503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1.983604752490947</c:v>
              </c:pt>
              <c:pt idx="1">
                <c:v>2.5152973377617012</c:v>
              </c:pt>
              <c:pt idx="2">
                <c:v>3.1989020902526599</c:v>
              </c:pt>
              <c:pt idx="3">
                <c:v>4.0344190099638304</c:v>
              </c:pt>
              <c:pt idx="4">
                <c:v>5.0218480968952086</c:v>
              </c:pt>
              <c:pt idx="5">
                <c:v>6.1611893510467599</c:v>
              </c:pt>
              <c:pt idx="6">
                <c:v>7.4524427724186131</c:v>
              </c:pt>
              <c:pt idx="7">
                <c:v>8.8956083610106322</c:v>
              </c:pt>
              <c:pt idx="8">
                <c:v>10.490686116822999</c:v>
              </c:pt>
              <c:pt idx="9">
                <c:v>12.237676039855311</c:v>
              </c:pt>
              <c:pt idx="10">
                <c:v>14.136578130107971</c:v>
              </c:pt>
              <c:pt idx="11">
                <c:v>16.187392387580829</c:v>
              </c:pt>
              <c:pt idx="12">
                <c:v>18.390118812273929</c:v>
              </c:pt>
              <c:pt idx="13">
                <c:v>20.744757404187229</c:v>
              </c:pt>
              <c:pt idx="14">
                <c:v>23.251308163320729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1.515944178488188</c:v>
              </c:pt>
              <c:pt idx="1">
                <c:v>1.6839007617568049</c:v>
              </c:pt>
              <c:pt idx="2">
                <c:v>1.899844940244982</c:v>
              </c:pt>
              <c:pt idx="3">
                <c:v>2.1637767139528008</c:v>
              </c:pt>
              <c:pt idx="4">
                <c:v>2.4756960828801802</c:v>
              </c:pt>
              <c:pt idx="5">
                <c:v>2.8356030470271771</c:v>
              </c:pt>
              <c:pt idx="6">
                <c:v>3.2434976063937802</c:v>
              </c:pt>
              <c:pt idx="7">
                <c:v>3.6993797609799648</c:v>
              </c:pt>
              <c:pt idx="8">
                <c:v>4.2032495107857564</c:v>
              </c:pt>
              <c:pt idx="9">
                <c:v>4.7551068558111469</c:v>
              </c:pt>
              <c:pt idx="10">
                <c:v>5.3549517960561346</c:v>
              </c:pt>
              <c:pt idx="11">
                <c:v>6.0027843315207274</c:v>
              </c:pt>
              <c:pt idx="12">
                <c:v>6.6986044622049157</c:v>
              </c:pt>
              <c:pt idx="13">
                <c:v>7.4424121881087064</c:v>
              </c:pt>
              <c:pt idx="14">
                <c:v>8.2342075092320801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1.729519299471082</c:v>
              </c:pt>
              <c:pt idx="1">
                <c:v>2.0635898657264171</c:v>
              </c:pt>
              <c:pt idx="2">
                <c:v>2.4931091651974802</c:v>
              </c:pt>
              <c:pt idx="3">
                <c:v>3.0180771978843608</c:v>
              </c:pt>
              <c:pt idx="4">
                <c:v>3.6384939637870479</c:v>
              </c:pt>
              <c:pt idx="5">
                <c:v>4.3543594629055287</c:v>
              </c:pt>
              <c:pt idx="6">
                <c:v>5.1656736952398434</c:v>
              </c:pt>
              <c:pt idx="7">
                <c:v>6.0724366607898874</c:v>
              </c:pt>
              <c:pt idx="8">
                <c:v>7.0746483595557708</c:v>
              </c:pt>
              <c:pt idx="9">
                <c:v>8.1723087915374411</c:v>
              </c:pt>
              <c:pt idx="10">
                <c:v>9.3654179567350493</c:v>
              </c:pt>
              <c:pt idx="11">
                <c:v>10.65397585514827</c:v>
              </c:pt>
              <c:pt idx="12">
                <c:v>12.03798248677726</c:v>
              </c:pt>
              <c:pt idx="13">
                <c:v>13.51743785162218</c:v>
              </c:pt>
              <c:pt idx="14">
                <c:v>15.092341949682799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1.4950931286551561</c:v>
              </c:pt>
              <c:pt idx="1">
                <c:v>1.6468322287202779</c:v>
              </c:pt>
              <c:pt idx="2">
                <c:v>1.8419253573754151</c:v>
              </c:pt>
              <c:pt idx="3">
                <c:v>2.0803725146206218</c:v>
              </c:pt>
              <c:pt idx="4">
                <c:v>2.362173700455847</c:v>
              </c:pt>
              <c:pt idx="5">
                <c:v>2.6873289148811081</c:v>
              </c:pt>
              <c:pt idx="6">
                <c:v>3.0558381578964</c:v>
              </c:pt>
              <c:pt idx="7">
                <c:v>3.4677014295017292</c:v>
              </c:pt>
              <c:pt idx="8">
                <c:v>3.9229187296970922</c:v>
              </c:pt>
              <c:pt idx="9">
                <c:v>4.4214900584824894</c:v>
              </c:pt>
              <c:pt idx="10">
                <c:v>4.9634154158579218</c:v>
              </c:pt>
              <c:pt idx="11">
                <c:v>5.5486948018233884</c:v>
              </c:pt>
              <c:pt idx="12">
                <c:v>6.1773282163788874</c:v>
              </c:pt>
              <c:pt idx="13">
                <c:v>6.849315659524426</c:v>
              </c:pt>
              <c:pt idx="14">
                <c:v>7.5646571312599846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83488"/>
        <c:axId val="103185408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01792"/>
        <c:axId val="103199872"/>
      </c:scatterChart>
      <c:valAx>
        <c:axId val="103183488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185408"/>
        <c:crosses val="autoZero"/>
        <c:crossBetween val="midCat"/>
        <c:majorUnit val="100"/>
      </c:valAx>
      <c:valAx>
        <c:axId val="10318540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183488"/>
        <c:crosses val="autoZero"/>
        <c:crossBetween val="midCat"/>
        <c:majorUnit val="1"/>
      </c:valAx>
      <c:valAx>
        <c:axId val="10319987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3201792"/>
        <c:crosses val="max"/>
        <c:crossBetween val="midCat"/>
      </c:valAx>
      <c:valAx>
        <c:axId val="10320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31998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'300113G2'!$N$28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843.75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'300113G2'!$N$30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'300113G2'!$Q$29:$Q$30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'300113G2'!$N$32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'300113G2'!$Q$31:$Q$32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'300113G2'!$N$34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'300113G2'!$Q$33:$Q$34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'300113G2'!$N$36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'300113G2'!$Q$35:$Q$36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'300113G2'!$N$38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'300113G2'!$Q$37:$Q$38</c:f>
              <c:numCache>
                <c:formatCode>0</c:formatCode>
                <c:ptCount val="2"/>
                <c:pt idx="0">
                  <c:v>15.247565178352311</c:v>
                </c:pt>
                <c:pt idx="1">
                  <c:v>550</c:v>
                </c:pt>
              </c:numCache>
            </c:numRef>
          </c:xVal>
          <c:yVal>
            <c:numRef>
              <c:f>'300113G2'!$R$37:$R$38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601.59648917435368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69632"/>
        <c:axId val="10647590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'300113G2'!$P$36</c:f>
              <c:numCache>
                <c:formatCode>0.0</c:formatCode>
                <c:ptCount val="1"/>
                <c:pt idx="0">
                  <c:v>10.268432212033481</c:v>
                </c:pt>
              </c:numCache>
            </c:numRef>
          </c:xVal>
          <c:yVal>
            <c:numRef>
              <c:f>'300113G2'!$P$22</c:f>
              <c:numCache>
                <c:formatCode>0.00</c:formatCode>
                <c:ptCount val="1"/>
                <c:pt idx="0">
                  <c:v>237.7548335557662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88192"/>
        <c:axId val="106477824"/>
      </c:scatterChart>
      <c:valAx>
        <c:axId val="10646963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475904"/>
        <c:crossesAt val="0"/>
        <c:crossBetween val="midCat"/>
        <c:majorUnit val="100"/>
        <c:minorUnit val="100"/>
      </c:valAx>
      <c:valAx>
        <c:axId val="106475904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6469632"/>
        <c:crosses val="autoZero"/>
        <c:crossBetween val="midCat"/>
        <c:majorUnit val="100"/>
        <c:minorUnit val="1"/>
      </c:valAx>
      <c:valAx>
        <c:axId val="106477824"/>
        <c:scaling>
          <c:orientation val="minMax"/>
          <c:max val="237.8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6488192"/>
        <c:crosses val="max"/>
        <c:crossBetween val="midCat"/>
        <c:majorUnit val="25"/>
      </c:valAx>
      <c:valAx>
        <c:axId val="10648819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64778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'300113G2'!$N$37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'300113G2'!$O$37:$O$38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'300113G2'!$P$37:$P$38</c:f>
              <c:numCache>
                <c:formatCode>0.0</c:formatCode>
                <c:ptCount val="2"/>
                <c:pt idx="0">
                  <c:v>0</c:v>
                </c:pt>
                <c:pt idx="1">
                  <c:v>9.8814336221578873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'300113G2'!$N$35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'300113G2'!$O$35:$O$36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'300113G2'!$P$35:$P$36</c:f>
              <c:numCache>
                <c:formatCode>0.0</c:formatCode>
                <c:ptCount val="2"/>
                <c:pt idx="0">
                  <c:v>0</c:v>
                </c:pt>
                <c:pt idx="1">
                  <c:v>10.268432212033481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'300113G2'!$N$33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'300113G2'!$O$33:$O$34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'300113G2'!$P$33:$P$34</c:f>
              <c:numCache>
                <c:formatCode>0.0</c:formatCode>
                <c:ptCount val="2"/>
                <c:pt idx="0">
                  <c:v>0</c:v>
                </c:pt>
                <c:pt idx="1">
                  <c:v>7.0621822120334814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'300113G2'!$N$31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'300113G2'!$O$31:$O$32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'300113G2'!$P$31:$P$32</c:f>
              <c:numCache>
                <c:formatCode>0.0</c:formatCode>
                <c:ptCount val="2"/>
                <c:pt idx="0">
                  <c:v>0</c:v>
                </c:pt>
                <c:pt idx="1">
                  <c:v>5.459057212033481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'300113G2'!$N$29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'300113G2'!$O$29:$O$30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'300113G2'!$P$29:$P$30</c:f>
              <c:numCache>
                <c:formatCode>0.0</c:formatCode>
                <c:ptCount val="2"/>
                <c:pt idx="0">
                  <c:v>0</c:v>
                </c:pt>
                <c:pt idx="1">
                  <c:v>3.8559322120334816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'300113G2'!$N$27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'300113G2'!$P$27:$P$28</c:f>
              <c:numCache>
                <c:formatCode>0.0</c:formatCode>
                <c:ptCount val="2"/>
                <c:pt idx="0">
                  <c:v>0</c:v>
                </c:pt>
                <c:pt idx="1">
                  <c:v>2.2528072120334817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4960"/>
        <c:axId val="10851123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'300113G2'!$P$23</c:f>
              <c:numCache>
                <c:formatCode>0.00</c:formatCode>
                <c:ptCount val="1"/>
                <c:pt idx="0">
                  <c:v>16.092264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31712"/>
        <c:axId val="108513152"/>
      </c:scatterChart>
      <c:valAx>
        <c:axId val="108504960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511232"/>
        <c:crossesAt val="0"/>
        <c:crossBetween val="midCat"/>
        <c:majorUnit val="100"/>
        <c:minorUnit val="100"/>
      </c:valAx>
      <c:valAx>
        <c:axId val="10851123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504960"/>
        <c:crosses val="autoZero"/>
        <c:crossBetween val="midCat"/>
        <c:majorUnit val="1"/>
        <c:minorUnit val="1"/>
      </c:valAx>
      <c:valAx>
        <c:axId val="108513152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531712"/>
        <c:crosses val="max"/>
        <c:crossBetween val="midCat"/>
        <c:majorUnit val="2"/>
      </c:valAx>
      <c:valAx>
        <c:axId val="10853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8513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'300113G3'!$O$1:$O$2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'300113G3'!$P$1:$P$2</c:f>
              <c:numCache>
                <c:formatCode>General</c:formatCode>
                <c:ptCount val="2"/>
                <c:pt idx="0">
                  <c:v>0</c:v>
                </c:pt>
                <c:pt idx="1">
                  <c:v>843.75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'300113G3'!$O$3:$O$5</c:f>
              <c:numCache>
                <c:formatCode>General</c:formatCode>
                <c:ptCount val="3"/>
                <c:pt idx="0">
                  <c:v>36.580898511685632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'300113G3'!$P$3:$P$5</c:f>
              <c:numCache>
                <c:formatCode>General</c:formatCode>
                <c:ptCount val="3"/>
                <c:pt idx="0">
                  <c:v>0</c:v>
                </c:pt>
                <c:pt idx="1">
                  <c:v>577.59648917435368</c:v>
                </c:pt>
                <c:pt idx="2">
                  <c:v>808.92582200971822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'300113G3'!$O$7:$O$8</c:f>
              <c:numCache>
                <c:formatCode>General</c:formatCode>
                <c:ptCount val="2"/>
                <c:pt idx="0">
                  <c:v>11.73012255941012</c:v>
                </c:pt>
                <c:pt idx="1">
                  <c:v>750</c:v>
                </c:pt>
              </c:numCache>
            </c:numRef>
          </c:xVal>
          <c:yVal>
            <c:numRef>
              <c:f>'300113G3'!$P$7:$P$8</c:f>
              <c:numCache>
                <c:formatCode>General</c:formatCode>
                <c:ptCount val="2"/>
                <c:pt idx="0">
                  <c:v>0</c:v>
                </c:pt>
                <c:pt idx="1">
                  <c:v>830.55361212066362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'300113G3'!$O$6</c:f>
              <c:numCache>
                <c:formatCode>0</c:formatCode>
                <c:ptCount val="1"/>
                <c:pt idx="0">
                  <c:v>70</c:v>
                </c:pt>
              </c:numCache>
            </c:numRef>
          </c:xVal>
          <c:yVal>
            <c:numRef>
              <c:f>'300113G3'!$P$6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92992"/>
        <c:axId val="10869491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'300113G3'!$O$9:$O$10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'300113G3'!$P$9:$P$10</c:f>
              <c:numCache>
                <c:formatCode>General</c:formatCode>
                <c:ptCount val="2"/>
                <c:pt idx="0">
                  <c:v>0</c:v>
                </c:pt>
                <c:pt idx="1">
                  <c:v>185.5989716002228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01184"/>
        <c:axId val="108702720"/>
      </c:scatterChart>
      <c:valAx>
        <c:axId val="10869299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694912"/>
        <c:crossesAt val="0"/>
        <c:crossBetween val="midCat"/>
        <c:majorUnit val="100"/>
      </c:valAx>
      <c:valAx>
        <c:axId val="10869491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692992"/>
        <c:crosses val="autoZero"/>
        <c:crossBetween val="midCat"/>
        <c:majorUnit val="100"/>
        <c:minorUnit val="10"/>
      </c:valAx>
      <c:valAx>
        <c:axId val="10870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8702720"/>
        <c:crosses val="autoZero"/>
        <c:crossBetween val="midCat"/>
      </c:valAx>
      <c:valAx>
        <c:axId val="108702720"/>
        <c:scaling>
          <c:orientation val="minMax"/>
          <c:max val="237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701184"/>
        <c:crosses val="max"/>
        <c:crossBetween val="midCat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'300113G3'!$O$41</c:f>
              <c:numCache>
                <c:formatCode>0</c:formatCode>
                <c:ptCount val="1"/>
                <c:pt idx="0">
                  <c:v>70</c:v>
                </c:pt>
              </c:numCache>
            </c:numRef>
          </c:xVal>
          <c:yVal>
            <c:numRef>
              <c:f>'300113G3'!$P$42</c:f>
              <c:numCache>
                <c:formatCode>0.00</c:formatCode>
                <c:ptCount val="1"/>
                <c:pt idx="0">
                  <c:v>1.6749464434335466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2.9770748380537468</c:v>
              </c:pt>
              <c:pt idx="1">
                <c:v>4.281466378762218</c:v>
              </c:pt>
              <c:pt idx="2">
                <c:v>5.9585412168159646</c:v>
              </c:pt>
              <c:pt idx="3">
                <c:v>8.0082993522149906</c:v>
              </c:pt>
              <c:pt idx="4">
                <c:v>10.430740784959299</c:v>
              </c:pt>
              <c:pt idx="5">
                <c:v>13.22586551504887</c:v>
              </c:pt>
              <c:pt idx="6">
                <c:v>16.393673542483729</c:v>
              </c:pt>
              <c:pt idx="7">
                <c:v>19.93416486726386</c:v>
              </c:pt>
              <c:pt idx="8">
                <c:v>23.847339489389181</c:v>
              </c:pt>
              <c:pt idx="9">
                <c:v>28.133197408860031</c:v>
              </c:pt>
              <c:pt idx="10">
                <c:v>32.791738625676011</c:v>
              </c:pt>
              <c:pt idx="11">
                <c:v>37.822963139837157</c:v>
              </c:pt>
              <c:pt idx="12">
                <c:v>43.226870951343393</c:v>
              </c:pt>
              <c:pt idx="13">
                <c:v>49.003462060195467</c:v>
              </c:pt>
              <c:pt idx="14">
                <c:v>55.152736466392192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1.6295069262297259</c:v>
              </c:pt>
              <c:pt idx="1">
                <c:v>1.885790091075062</c:v>
              </c:pt>
              <c:pt idx="2">
                <c:v>2.2152970173047839</c:v>
              </c:pt>
              <c:pt idx="3">
                <c:v>2.6180277049188878</c:v>
              </c:pt>
              <c:pt idx="4">
                <c:v>3.0939821539173802</c:v>
              </c:pt>
              <c:pt idx="5">
                <c:v>3.6431603643002481</c:v>
              </c:pt>
              <c:pt idx="6">
                <c:v>4.2655623360674646</c:v>
              </c:pt>
              <c:pt idx="7">
                <c:v>4.9611880692191352</c:v>
              </c:pt>
              <c:pt idx="8">
                <c:v>5.7300375637551486</c:v>
              </c:pt>
              <c:pt idx="9">
                <c:v>6.5721108196755003</c:v>
              </c:pt>
              <c:pt idx="10">
                <c:v>7.4874078369803376</c:v>
              </c:pt>
              <c:pt idx="11">
                <c:v>8.4759286156695044</c:v>
              </c:pt>
              <c:pt idx="12">
                <c:v>9.5376731557430521</c:v>
              </c:pt>
              <c:pt idx="13">
                <c:v>10.67264145720101</c:v>
              </c:pt>
              <c:pt idx="14">
                <c:v>11.88083352004338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2.3460394236983699</c:v>
              </c:pt>
              <c:pt idx="1">
                <c:v>3.15962564213048</c:v>
              </c:pt>
              <c:pt idx="2">
                <c:v>4.2056650658288834</c:v>
              </c:pt>
              <c:pt idx="3">
                <c:v>5.4841576947935824</c:v>
              </c:pt>
              <c:pt idx="4">
                <c:v>6.9951035290245827</c:v>
              </c:pt>
              <c:pt idx="5">
                <c:v>8.7385025685219038</c:v>
              </c:pt>
              <c:pt idx="6">
                <c:v>10.71435481328554</c:v>
              </c:pt>
              <c:pt idx="7">
                <c:v>12.922660263315469</c:v>
              </c:pt>
              <c:pt idx="8">
                <c:v>15.36341891861173</c:v>
              </c:pt>
              <c:pt idx="9">
                <c:v>18.036630779174189</c:v>
              </c:pt>
              <c:pt idx="10">
                <c:v>20.942295845002981</c:v>
              </c:pt>
              <c:pt idx="11">
                <c:v>24.080414116098328</c:v>
              </c:pt>
              <c:pt idx="12">
                <c:v>27.45098559245983</c:v>
              </c:pt>
              <c:pt idx="13">
                <c:v>31.05401027408762</c:v>
              </c:pt>
              <c:pt idx="14">
                <c:v>34.88948816098172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1.5720649019188759</c:v>
              </c:pt>
              <c:pt idx="1">
                <c:v>1.783670936744653</c:v>
              </c:pt>
              <c:pt idx="2">
                <c:v>2.0557358386635212</c:v>
              </c:pt>
              <c:pt idx="3">
                <c:v>2.3882596076754692</c:v>
              </c:pt>
              <c:pt idx="4">
                <c:v>2.7812422437805</c:v>
              </c:pt>
              <c:pt idx="5">
                <c:v>3.2346837469786212</c:v>
              </c:pt>
              <c:pt idx="6">
                <c:v>3.7485841172698078</c:v>
              </c:pt>
              <c:pt idx="7">
                <c:v>4.3229433546540816</c:v>
              </c:pt>
              <c:pt idx="8">
                <c:v>4.957761459131441</c:v>
              </c:pt>
              <c:pt idx="9">
                <c:v>5.6530384307018791</c:v>
              </c:pt>
              <c:pt idx="10">
                <c:v>6.4087742693653764</c:v>
              </c:pt>
              <c:pt idx="11">
                <c:v>7.2249689751220014</c:v>
              </c:pt>
              <c:pt idx="12">
                <c:v>8.1016225479716883</c:v>
              </c:pt>
              <c:pt idx="13">
                <c:v>9.0387349879144487</c:v>
              </c:pt>
              <c:pt idx="14">
                <c:v>10.0363062949503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1.983604752490947</c:v>
              </c:pt>
              <c:pt idx="1">
                <c:v>2.5152973377617012</c:v>
              </c:pt>
              <c:pt idx="2">
                <c:v>3.1989020902526599</c:v>
              </c:pt>
              <c:pt idx="3">
                <c:v>4.0344190099638304</c:v>
              </c:pt>
              <c:pt idx="4">
                <c:v>5.0218480968952086</c:v>
              </c:pt>
              <c:pt idx="5">
                <c:v>6.1611893510467599</c:v>
              </c:pt>
              <c:pt idx="6">
                <c:v>7.4524427724186131</c:v>
              </c:pt>
              <c:pt idx="7">
                <c:v>8.8956083610106322</c:v>
              </c:pt>
              <c:pt idx="8">
                <c:v>10.490686116822999</c:v>
              </c:pt>
              <c:pt idx="9">
                <c:v>12.237676039855311</c:v>
              </c:pt>
              <c:pt idx="10">
                <c:v>14.136578130107971</c:v>
              </c:pt>
              <c:pt idx="11">
                <c:v>16.187392387580829</c:v>
              </c:pt>
              <c:pt idx="12">
                <c:v>18.390118812273929</c:v>
              </c:pt>
              <c:pt idx="13">
                <c:v>20.744757404187229</c:v>
              </c:pt>
              <c:pt idx="14">
                <c:v>23.251308163320729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1.515944178488188</c:v>
              </c:pt>
              <c:pt idx="1">
                <c:v>1.6839007617568049</c:v>
              </c:pt>
              <c:pt idx="2">
                <c:v>1.899844940244982</c:v>
              </c:pt>
              <c:pt idx="3">
                <c:v>2.1637767139528008</c:v>
              </c:pt>
              <c:pt idx="4">
                <c:v>2.4756960828801802</c:v>
              </c:pt>
              <c:pt idx="5">
                <c:v>2.8356030470271771</c:v>
              </c:pt>
              <c:pt idx="6">
                <c:v>3.2434976063937802</c:v>
              </c:pt>
              <c:pt idx="7">
                <c:v>3.6993797609799648</c:v>
              </c:pt>
              <c:pt idx="8">
                <c:v>4.2032495107857564</c:v>
              </c:pt>
              <c:pt idx="9">
                <c:v>4.7551068558111469</c:v>
              </c:pt>
              <c:pt idx="10">
                <c:v>5.3549517960561346</c:v>
              </c:pt>
              <c:pt idx="11">
                <c:v>6.0027843315207274</c:v>
              </c:pt>
              <c:pt idx="12">
                <c:v>6.6986044622049157</c:v>
              </c:pt>
              <c:pt idx="13">
                <c:v>7.4424121881087064</c:v>
              </c:pt>
              <c:pt idx="14">
                <c:v>8.2342075092320801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1.729519299471082</c:v>
              </c:pt>
              <c:pt idx="1">
                <c:v>2.0635898657264171</c:v>
              </c:pt>
              <c:pt idx="2">
                <c:v>2.4931091651974802</c:v>
              </c:pt>
              <c:pt idx="3">
                <c:v>3.0180771978843608</c:v>
              </c:pt>
              <c:pt idx="4">
                <c:v>3.6384939637870479</c:v>
              </c:pt>
              <c:pt idx="5">
                <c:v>4.3543594629055287</c:v>
              </c:pt>
              <c:pt idx="6">
                <c:v>5.1656736952398434</c:v>
              </c:pt>
              <c:pt idx="7">
                <c:v>6.0724366607898874</c:v>
              </c:pt>
              <c:pt idx="8">
                <c:v>7.0746483595557708</c:v>
              </c:pt>
              <c:pt idx="9">
                <c:v>8.1723087915374411</c:v>
              </c:pt>
              <c:pt idx="10">
                <c:v>9.3654179567350493</c:v>
              </c:pt>
              <c:pt idx="11">
                <c:v>10.65397585514827</c:v>
              </c:pt>
              <c:pt idx="12">
                <c:v>12.03798248677726</c:v>
              </c:pt>
              <c:pt idx="13">
                <c:v>13.51743785162218</c:v>
              </c:pt>
              <c:pt idx="14">
                <c:v>15.092341949682799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1.4950931286551561</c:v>
              </c:pt>
              <c:pt idx="1">
                <c:v>1.6468322287202779</c:v>
              </c:pt>
              <c:pt idx="2">
                <c:v>1.8419253573754151</c:v>
              </c:pt>
              <c:pt idx="3">
                <c:v>2.0803725146206218</c:v>
              </c:pt>
              <c:pt idx="4">
                <c:v>2.362173700455847</c:v>
              </c:pt>
              <c:pt idx="5">
                <c:v>2.6873289148811081</c:v>
              </c:pt>
              <c:pt idx="6">
                <c:v>3.0558381578964</c:v>
              </c:pt>
              <c:pt idx="7">
                <c:v>3.4677014295017292</c:v>
              </c:pt>
              <c:pt idx="8">
                <c:v>3.9229187296970922</c:v>
              </c:pt>
              <c:pt idx="9">
                <c:v>4.4214900584824894</c:v>
              </c:pt>
              <c:pt idx="10">
                <c:v>4.9634154158579218</c:v>
              </c:pt>
              <c:pt idx="11">
                <c:v>5.5486948018233884</c:v>
              </c:pt>
              <c:pt idx="12">
                <c:v>6.1773282163788874</c:v>
              </c:pt>
              <c:pt idx="13">
                <c:v>6.849315659524426</c:v>
              </c:pt>
              <c:pt idx="14">
                <c:v>7.5646571312599846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72352"/>
        <c:axId val="108786816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790912"/>
        <c:axId val="108788736"/>
      </c:scatterChart>
      <c:valAx>
        <c:axId val="10877235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8786816"/>
        <c:crosses val="autoZero"/>
        <c:crossBetween val="midCat"/>
        <c:majorUnit val="100"/>
      </c:valAx>
      <c:valAx>
        <c:axId val="10878681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8772352"/>
        <c:crosses val="autoZero"/>
        <c:crossBetween val="midCat"/>
        <c:majorUnit val="1"/>
      </c:valAx>
      <c:valAx>
        <c:axId val="108788736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8790912"/>
        <c:crosses val="max"/>
        <c:crossBetween val="midCat"/>
      </c:valAx>
      <c:valAx>
        <c:axId val="10879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87887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'300113G4'!$N$28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843.75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'300113G4'!$N$30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'300113G4'!$Q$29:$Q$30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'300113G4'!$N$32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'300113G4'!$Q$31:$Q$32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'300113G4'!$N$34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'300113G4'!$Q$33:$Q$34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'300113G4'!$N$36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'300113G4'!$Q$35:$Q$36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'300113G4'!$N$38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'300113G4'!$Q$37:$Q$38</c:f>
              <c:numCache>
                <c:formatCode>0</c:formatCode>
                <c:ptCount val="2"/>
                <c:pt idx="0">
                  <c:v>36.580898511685646</c:v>
                </c:pt>
                <c:pt idx="1">
                  <c:v>550</c:v>
                </c:pt>
              </c:numCache>
            </c:numRef>
          </c:xVal>
          <c:yVal>
            <c:numRef>
              <c:f>'300113G4'!$R$37:$R$38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577.59648917435368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08128"/>
        <c:axId val="108210048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'300113G4'!$P$36</c:f>
              <c:numCache>
                <c:formatCode>0.0</c:formatCode>
                <c:ptCount val="1"/>
                <c:pt idx="0">
                  <c:v>10.268432212033481</c:v>
                </c:pt>
              </c:numCache>
            </c:numRef>
          </c:xVal>
          <c:yVal>
            <c:numRef>
              <c:f>'300113G4'!$P$22</c:f>
              <c:numCache>
                <c:formatCode>0.00</c:formatCode>
                <c:ptCount val="1"/>
                <c:pt idx="0">
                  <c:v>237.7548335557662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4144"/>
        <c:axId val="108212224"/>
      </c:scatterChart>
      <c:valAx>
        <c:axId val="108208128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210048"/>
        <c:crossesAt val="0"/>
        <c:crossBetween val="midCat"/>
        <c:majorUnit val="100"/>
        <c:minorUnit val="100"/>
      </c:valAx>
      <c:valAx>
        <c:axId val="10821004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208128"/>
        <c:crosses val="autoZero"/>
        <c:crossBetween val="midCat"/>
        <c:majorUnit val="100"/>
        <c:minorUnit val="1"/>
      </c:valAx>
      <c:valAx>
        <c:axId val="108212224"/>
        <c:scaling>
          <c:orientation val="minMax"/>
          <c:max val="237.8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214144"/>
        <c:crosses val="max"/>
        <c:crossBetween val="midCat"/>
        <c:majorUnit val="25"/>
      </c:valAx>
      <c:valAx>
        <c:axId val="1082141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82122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'100005G4'!$N$39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'100005G4'!$O$39:$O$40</c:f>
              <c:numCache>
                <c:formatCode>0</c:formatCode>
                <c:ptCount val="2"/>
                <c:pt idx="0">
                  <c:v>0</c:v>
                </c:pt>
                <c:pt idx="1">
                  <c:v>1000</c:v>
                </c:pt>
              </c:numCache>
            </c:numRef>
          </c:xVal>
          <c:yVal>
            <c:numRef>
              <c:f>'100005G4'!$P$39:$P$40</c:f>
              <c:numCache>
                <c:formatCode>0.0</c:formatCode>
                <c:ptCount val="2"/>
                <c:pt idx="0">
                  <c:v>0</c:v>
                </c:pt>
                <c:pt idx="1">
                  <c:v>1.6966629333192278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'100005G4'!$N$37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'100005G4'!$O$37:$O$38</c:f>
              <c:numCache>
                <c:formatCode>0</c:formatCode>
                <c:ptCount val="2"/>
                <c:pt idx="0">
                  <c:v>0</c:v>
                </c:pt>
                <c:pt idx="1">
                  <c:v>1228.5714285714287</c:v>
                </c:pt>
              </c:numCache>
            </c:numRef>
          </c:xVal>
          <c:yVal>
            <c:numRef>
              <c:f>'100005G4'!$P$37:$P$38</c:f>
              <c:numCache>
                <c:formatCode>0.0</c:formatCode>
                <c:ptCount val="2"/>
                <c:pt idx="0">
                  <c:v>0</c:v>
                </c:pt>
                <c:pt idx="1">
                  <c:v>1.869717318077909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'100005G4'!$N$35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'100005G4'!$O$35:$O$36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'100005G4'!$P$35:$P$36</c:f>
              <c:numCache>
                <c:formatCode>0.0</c:formatCode>
                <c:ptCount val="2"/>
                <c:pt idx="0">
                  <c:v>0</c:v>
                </c:pt>
                <c:pt idx="1">
                  <c:v>1.7635281066469191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'100005G4'!$N$33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'100005G4'!$O$33:$O$34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'100005G4'!$P$33:$P$34</c:f>
              <c:numCache>
                <c:formatCode>0.0</c:formatCode>
                <c:ptCount val="2"/>
                <c:pt idx="0">
                  <c:v>0</c:v>
                </c:pt>
                <c:pt idx="1">
                  <c:v>1.5188081066469192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'100005G4'!$N$31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'100005G4'!$O$31:$O$32</c:f>
              <c:numCache>
                <c:formatCode>0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'100005G4'!$P$31:$P$32</c:f>
              <c:numCache>
                <c:formatCode>0.0</c:formatCode>
                <c:ptCount val="2"/>
                <c:pt idx="0">
                  <c:v>0</c:v>
                </c:pt>
                <c:pt idx="1">
                  <c:v>1.2740881066469192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'100005G4'!$N$29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'100005G4'!$O$29:$O$30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'100005G4'!$P$29:$P$30</c:f>
              <c:numCache>
                <c:formatCode>0.0</c:formatCode>
                <c:ptCount val="2"/>
                <c:pt idx="0">
                  <c:v>0</c:v>
                </c:pt>
                <c:pt idx="1">
                  <c:v>1.0293681066469191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'100005G4'!$N$27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'100005G4'!$P$27:$P$28</c:f>
              <c:numCache>
                <c:formatCode>0.0</c:formatCode>
                <c:ptCount val="2"/>
                <c:pt idx="0">
                  <c:v>0</c:v>
                </c:pt>
                <c:pt idx="1">
                  <c:v>0.90700810664691922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39808"/>
        <c:axId val="8087667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'100005G4'!$O$23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'100005G4'!$P$23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88960"/>
        <c:axId val="80878592"/>
      </c:scatterChart>
      <c:valAx>
        <c:axId val="101239808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876672"/>
        <c:crossesAt val="0"/>
        <c:crossBetween val="midCat"/>
        <c:majorUnit val="200"/>
        <c:minorUnit val="100"/>
      </c:valAx>
      <c:valAx>
        <c:axId val="8087667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1239808"/>
        <c:crosses val="autoZero"/>
        <c:crossBetween val="midCat"/>
        <c:majorUnit val="1"/>
        <c:minorUnit val="1"/>
      </c:valAx>
      <c:valAx>
        <c:axId val="80878592"/>
        <c:scaling>
          <c:orientation val="minMax"/>
          <c:max val="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888960"/>
        <c:crosses val="max"/>
        <c:crossBetween val="midCat"/>
        <c:majorUnit val="1"/>
      </c:valAx>
      <c:valAx>
        <c:axId val="80888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8785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'300113G4'!$N$37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'300113G4'!$O$37:$O$38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'300113G4'!$P$37:$P$38</c:f>
              <c:numCache>
                <c:formatCode>0.0</c:formatCode>
                <c:ptCount val="2"/>
                <c:pt idx="0">
                  <c:v>0</c:v>
                </c:pt>
                <c:pt idx="1">
                  <c:v>9.8814336221578873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'300113G4'!$N$35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'300113G4'!$O$35:$O$36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'300113G4'!$P$35:$P$36</c:f>
              <c:numCache>
                <c:formatCode>0.0</c:formatCode>
                <c:ptCount val="2"/>
                <c:pt idx="0">
                  <c:v>0</c:v>
                </c:pt>
                <c:pt idx="1">
                  <c:v>10.268432212033481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'300113G4'!$N$33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'300113G4'!$O$33:$O$34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'300113G4'!$P$33:$P$34</c:f>
              <c:numCache>
                <c:formatCode>0.0</c:formatCode>
                <c:ptCount val="2"/>
                <c:pt idx="0">
                  <c:v>0</c:v>
                </c:pt>
                <c:pt idx="1">
                  <c:v>7.0621822120334814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'300113G4'!$N$31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'300113G4'!$O$31:$O$32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'300113G4'!$P$31:$P$32</c:f>
              <c:numCache>
                <c:formatCode>0.0</c:formatCode>
                <c:ptCount val="2"/>
                <c:pt idx="0">
                  <c:v>0</c:v>
                </c:pt>
                <c:pt idx="1">
                  <c:v>5.459057212033481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'300113G4'!$N$29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'300113G4'!$O$29:$O$30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'300113G4'!$P$29:$P$30</c:f>
              <c:numCache>
                <c:formatCode>0.0</c:formatCode>
                <c:ptCount val="2"/>
                <c:pt idx="0">
                  <c:v>0</c:v>
                </c:pt>
                <c:pt idx="1">
                  <c:v>3.8559322120334816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'300113G4'!$N$27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'300113G4'!$P$27:$P$28</c:f>
              <c:numCache>
                <c:formatCode>0.0</c:formatCode>
                <c:ptCount val="2"/>
                <c:pt idx="0">
                  <c:v>0</c:v>
                </c:pt>
                <c:pt idx="1">
                  <c:v>2.2528072120334817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60736"/>
        <c:axId val="10827110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'300113G4'!$P$23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83392"/>
        <c:axId val="108273024"/>
      </c:scatterChart>
      <c:valAx>
        <c:axId val="108260736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271104"/>
        <c:crossesAt val="0"/>
        <c:crossBetween val="midCat"/>
        <c:majorUnit val="100"/>
        <c:minorUnit val="100"/>
      </c:valAx>
      <c:valAx>
        <c:axId val="10827110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260736"/>
        <c:crosses val="autoZero"/>
        <c:crossBetween val="midCat"/>
        <c:majorUnit val="1"/>
        <c:minorUnit val="1"/>
      </c:valAx>
      <c:valAx>
        <c:axId val="108273024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283392"/>
        <c:crosses val="max"/>
        <c:crossBetween val="midCat"/>
        <c:majorUnit val="2"/>
      </c:valAx>
      <c:valAx>
        <c:axId val="10828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82730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'300113G5'!$O$1:$O$2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'300113G5'!$P$1:$P$2</c:f>
              <c:numCache>
                <c:formatCode>General</c:formatCode>
                <c:ptCount val="2"/>
                <c:pt idx="0">
                  <c:v>0</c:v>
                </c:pt>
                <c:pt idx="1">
                  <c:v>843.75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'300113G5'!$O$3:$O$5</c:f>
              <c:numCache>
                <c:formatCode>General</c:formatCode>
                <c:ptCount val="3"/>
                <c:pt idx="0">
                  <c:v>73.025342956130089</c:v>
                </c:pt>
                <c:pt idx="1">
                  <c:v>550</c:v>
                </c:pt>
                <c:pt idx="2">
                  <c:v>750</c:v>
                </c:pt>
              </c:numCache>
            </c:numRef>
          </c:xVal>
          <c:yVal>
            <c:numRef>
              <c:f>'300113G5'!$P$3:$P$5</c:f>
              <c:numCache>
                <c:formatCode>General</c:formatCode>
                <c:ptCount val="3"/>
                <c:pt idx="0">
                  <c:v>0</c:v>
                </c:pt>
                <c:pt idx="1">
                  <c:v>536.59648917435368</c:v>
                </c:pt>
                <c:pt idx="2">
                  <c:v>771.92582200971822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'300113G5'!$O$7:$O$8</c:f>
              <c:numCache>
                <c:formatCode>General</c:formatCode>
                <c:ptCount val="2"/>
                <c:pt idx="0">
                  <c:v>13.005441664118621</c:v>
                </c:pt>
                <c:pt idx="1">
                  <c:v>750</c:v>
                </c:pt>
              </c:numCache>
            </c:numRef>
          </c:xVal>
          <c:yVal>
            <c:numRef>
              <c:f>'300113G5'!$P$7:$P$8</c:f>
              <c:numCache>
                <c:formatCode>General</c:formatCode>
                <c:ptCount val="2"/>
                <c:pt idx="0">
                  <c:v>0</c:v>
                </c:pt>
                <c:pt idx="1">
                  <c:v>829.11887812786654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'300113G5'!$O$6</c:f>
              <c:numCache>
                <c:formatCode>0</c:formatCode>
                <c:ptCount val="1"/>
                <c:pt idx="0">
                  <c:v>72</c:v>
                </c:pt>
              </c:numCache>
            </c:numRef>
          </c:xVal>
          <c:yVal>
            <c:numRef>
              <c:f>'300113G5'!$P$6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26016"/>
        <c:axId val="109532288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'300113G5'!$O$9:$O$10</c:f>
              <c:numCache>
                <c:formatCode>General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'300113G5'!$P$9:$P$10</c:f>
              <c:numCache>
                <c:formatCode>General</c:formatCode>
                <c:ptCount val="2"/>
                <c:pt idx="0">
                  <c:v>0</c:v>
                </c:pt>
                <c:pt idx="1">
                  <c:v>185.5989716002228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34208"/>
        <c:axId val="109540096"/>
      </c:scatterChart>
      <c:valAx>
        <c:axId val="109526016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532288"/>
        <c:crossesAt val="0"/>
        <c:crossBetween val="midCat"/>
        <c:majorUnit val="100"/>
      </c:valAx>
      <c:valAx>
        <c:axId val="10953228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526016"/>
        <c:crosses val="autoZero"/>
        <c:crossBetween val="midCat"/>
        <c:majorUnit val="100"/>
        <c:minorUnit val="10"/>
      </c:valAx>
      <c:valAx>
        <c:axId val="10953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540096"/>
        <c:crosses val="autoZero"/>
        <c:crossBetween val="midCat"/>
      </c:valAx>
      <c:valAx>
        <c:axId val="109540096"/>
        <c:scaling>
          <c:orientation val="minMax"/>
          <c:max val="237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534208"/>
        <c:crosses val="max"/>
        <c:crossBetween val="midCat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'300113G5'!$O$41</c:f>
              <c:numCache>
                <c:formatCode>0</c:formatCode>
                <c:ptCount val="1"/>
                <c:pt idx="0">
                  <c:v>72</c:v>
                </c:pt>
              </c:numCache>
            </c:numRef>
          </c:xVal>
          <c:yVal>
            <c:numRef>
              <c:f>'300113G5'!$P$42</c:f>
              <c:numCache>
                <c:formatCode>0.00</c:formatCode>
                <c:ptCount val="1"/>
                <c:pt idx="0">
                  <c:v>1.6775333644926995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2.9770748380537468</c:v>
              </c:pt>
              <c:pt idx="1">
                <c:v>4.281466378762218</c:v>
              </c:pt>
              <c:pt idx="2">
                <c:v>5.9585412168159646</c:v>
              </c:pt>
              <c:pt idx="3">
                <c:v>8.0082993522149906</c:v>
              </c:pt>
              <c:pt idx="4">
                <c:v>10.430740784959299</c:v>
              </c:pt>
              <c:pt idx="5">
                <c:v>13.22586551504887</c:v>
              </c:pt>
              <c:pt idx="6">
                <c:v>16.393673542483729</c:v>
              </c:pt>
              <c:pt idx="7">
                <c:v>19.93416486726386</c:v>
              </c:pt>
              <c:pt idx="8">
                <c:v>23.847339489389181</c:v>
              </c:pt>
              <c:pt idx="9">
                <c:v>28.133197408860031</c:v>
              </c:pt>
              <c:pt idx="10">
                <c:v>32.791738625676011</c:v>
              </c:pt>
              <c:pt idx="11">
                <c:v>37.822963139837157</c:v>
              </c:pt>
              <c:pt idx="12">
                <c:v>43.226870951343393</c:v>
              </c:pt>
              <c:pt idx="13">
                <c:v>49.003462060195467</c:v>
              </c:pt>
              <c:pt idx="14">
                <c:v>55.152736466392192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1.6295069262297259</c:v>
              </c:pt>
              <c:pt idx="1">
                <c:v>1.885790091075062</c:v>
              </c:pt>
              <c:pt idx="2">
                <c:v>2.2152970173047839</c:v>
              </c:pt>
              <c:pt idx="3">
                <c:v>2.6180277049188878</c:v>
              </c:pt>
              <c:pt idx="4">
                <c:v>3.0939821539173802</c:v>
              </c:pt>
              <c:pt idx="5">
                <c:v>3.6431603643002481</c:v>
              </c:pt>
              <c:pt idx="6">
                <c:v>4.2655623360674646</c:v>
              </c:pt>
              <c:pt idx="7">
                <c:v>4.9611880692191352</c:v>
              </c:pt>
              <c:pt idx="8">
                <c:v>5.7300375637551486</c:v>
              </c:pt>
              <c:pt idx="9">
                <c:v>6.5721108196755003</c:v>
              </c:pt>
              <c:pt idx="10">
                <c:v>7.4874078369803376</c:v>
              </c:pt>
              <c:pt idx="11">
                <c:v>8.4759286156695044</c:v>
              </c:pt>
              <c:pt idx="12">
                <c:v>9.5376731557430521</c:v>
              </c:pt>
              <c:pt idx="13">
                <c:v>10.67264145720101</c:v>
              </c:pt>
              <c:pt idx="14">
                <c:v>11.88083352004338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2.3460394236983699</c:v>
              </c:pt>
              <c:pt idx="1">
                <c:v>3.15962564213048</c:v>
              </c:pt>
              <c:pt idx="2">
                <c:v>4.2056650658288834</c:v>
              </c:pt>
              <c:pt idx="3">
                <c:v>5.4841576947935824</c:v>
              </c:pt>
              <c:pt idx="4">
                <c:v>6.9951035290245827</c:v>
              </c:pt>
              <c:pt idx="5">
                <c:v>8.7385025685219038</c:v>
              </c:pt>
              <c:pt idx="6">
                <c:v>10.71435481328554</c:v>
              </c:pt>
              <c:pt idx="7">
                <c:v>12.922660263315469</c:v>
              </c:pt>
              <c:pt idx="8">
                <c:v>15.36341891861173</c:v>
              </c:pt>
              <c:pt idx="9">
                <c:v>18.036630779174189</c:v>
              </c:pt>
              <c:pt idx="10">
                <c:v>20.942295845002981</c:v>
              </c:pt>
              <c:pt idx="11">
                <c:v>24.080414116098328</c:v>
              </c:pt>
              <c:pt idx="12">
                <c:v>27.45098559245983</c:v>
              </c:pt>
              <c:pt idx="13">
                <c:v>31.05401027408762</c:v>
              </c:pt>
              <c:pt idx="14">
                <c:v>34.88948816098172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1.5720649019188759</c:v>
              </c:pt>
              <c:pt idx="1">
                <c:v>1.783670936744653</c:v>
              </c:pt>
              <c:pt idx="2">
                <c:v>2.0557358386635212</c:v>
              </c:pt>
              <c:pt idx="3">
                <c:v>2.3882596076754692</c:v>
              </c:pt>
              <c:pt idx="4">
                <c:v>2.7812422437805</c:v>
              </c:pt>
              <c:pt idx="5">
                <c:v>3.2346837469786212</c:v>
              </c:pt>
              <c:pt idx="6">
                <c:v>3.7485841172698078</c:v>
              </c:pt>
              <c:pt idx="7">
                <c:v>4.3229433546540816</c:v>
              </c:pt>
              <c:pt idx="8">
                <c:v>4.957761459131441</c:v>
              </c:pt>
              <c:pt idx="9">
                <c:v>5.6530384307018791</c:v>
              </c:pt>
              <c:pt idx="10">
                <c:v>6.4087742693653764</c:v>
              </c:pt>
              <c:pt idx="11">
                <c:v>7.2249689751220014</c:v>
              </c:pt>
              <c:pt idx="12">
                <c:v>8.1016225479716883</c:v>
              </c:pt>
              <c:pt idx="13">
                <c:v>9.0387349879144487</c:v>
              </c:pt>
              <c:pt idx="14">
                <c:v>10.0363062949503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1.983604752490947</c:v>
              </c:pt>
              <c:pt idx="1">
                <c:v>2.5152973377617012</c:v>
              </c:pt>
              <c:pt idx="2">
                <c:v>3.1989020902526599</c:v>
              </c:pt>
              <c:pt idx="3">
                <c:v>4.0344190099638304</c:v>
              </c:pt>
              <c:pt idx="4">
                <c:v>5.0218480968952086</c:v>
              </c:pt>
              <c:pt idx="5">
                <c:v>6.1611893510467599</c:v>
              </c:pt>
              <c:pt idx="6">
                <c:v>7.4524427724186131</c:v>
              </c:pt>
              <c:pt idx="7">
                <c:v>8.8956083610106322</c:v>
              </c:pt>
              <c:pt idx="8">
                <c:v>10.490686116822999</c:v>
              </c:pt>
              <c:pt idx="9">
                <c:v>12.237676039855311</c:v>
              </c:pt>
              <c:pt idx="10">
                <c:v>14.136578130107971</c:v>
              </c:pt>
              <c:pt idx="11">
                <c:v>16.187392387580829</c:v>
              </c:pt>
              <c:pt idx="12">
                <c:v>18.390118812273929</c:v>
              </c:pt>
              <c:pt idx="13">
                <c:v>20.744757404187229</c:v>
              </c:pt>
              <c:pt idx="14">
                <c:v>23.251308163320729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1.515944178488188</c:v>
              </c:pt>
              <c:pt idx="1">
                <c:v>1.6839007617568049</c:v>
              </c:pt>
              <c:pt idx="2">
                <c:v>1.899844940244982</c:v>
              </c:pt>
              <c:pt idx="3">
                <c:v>2.1637767139528008</c:v>
              </c:pt>
              <c:pt idx="4">
                <c:v>2.4756960828801802</c:v>
              </c:pt>
              <c:pt idx="5">
                <c:v>2.8356030470271771</c:v>
              </c:pt>
              <c:pt idx="6">
                <c:v>3.2434976063937802</c:v>
              </c:pt>
              <c:pt idx="7">
                <c:v>3.6993797609799648</c:v>
              </c:pt>
              <c:pt idx="8">
                <c:v>4.2032495107857564</c:v>
              </c:pt>
              <c:pt idx="9">
                <c:v>4.7551068558111469</c:v>
              </c:pt>
              <c:pt idx="10">
                <c:v>5.3549517960561346</c:v>
              </c:pt>
              <c:pt idx="11">
                <c:v>6.0027843315207274</c:v>
              </c:pt>
              <c:pt idx="12">
                <c:v>6.6986044622049157</c:v>
              </c:pt>
              <c:pt idx="13">
                <c:v>7.4424121881087064</c:v>
              </c:pt>
              <c:pt idx="14">
                <c:v>8.2342075092320801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1.729519299471082</c:v>
              </c:pt>
              <c:pt idx="1">
                <c:v>2.0635898657264171</c:v>
              </c:pt>
              <c:pt idx="2">
                <c:v>2.4931091651974802</c:v>
              </c:pt>
              <c:pt idx="3">
                <c:v>3.0180771978843608</c:v>
              </c:pt>
              <c:pt idx="4">
                <c:v>3.6384939637870479</c:v>
              </c:pt>
              <c:pt idx="5">
                <c:v>4.3543594629055287</c:v>
              </c:pt>
              <c:pt idx="6">
                <c:v>5.1656736952398434</c:v>
              </c:pt>
              <c:pt idx="7">
                <c:v>6.0724366607898874</c:v>
              </c:pt>
              <c:pt idx="8">
                <c:v>7.0746483595557708</c:v>
              </c:pt>
              <c:pt idx="9">
                <c:v>8.1723087915374411</c:v>
              </c:pt>
              <c:pt idx="10">
                <c:v>9.3654179567350493</c:v>
              </c:pt>
              <c:pt idx="11">
                <c:v>10.65397585514827</c:v>
              </c:pt>
              <c:pt idx="12">
                <c:v>12.03798248677726</c:v>
              </c:pt>
              <c:pt idx="13">
                <c:v>13.51743785162218</c:v>
              </c:pt>
              <c:pt idx="14">
                <c:v>15.092341949682799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1.4950931286551561</c:v>
              </c:pt>
              <c:pt idx="1">
                <c:v>1.6468322287202779</c:v>
              </c:pt>
              <c:pt idx="2">
                <c:v>1.8419253573754151</c:v>
              </c:pt>
              <c:pt idx="3">
                <c:v>2.0803725146206218</c:v>
              </c:pt>
              <c:pt idx="4">
                <c:v>2.362173700455847</c:v>
              </c:pt>
              <c:pt idx="5">
                <c:v>2.6873289148811081</c:v>
              </c:pt>
              <c:pt idx="6">
                <c:v>3.0558381578964</c:v>
              </c:pt>
              <c:pt idx="7">
                <c:v>3.4677014295017292</c:v>
              </c:pt>
              <c:pt idx="8">
                <c:v>3.9229187296970922</c:v>
              </c:pt>
              <c:pt idx="9">
                <c:v>4.4214900584824894</c:v>
              </c:pt>
              <c:pt idx="10">
                <c:v>4.9634154158579218</c:v>
              </c:pt>
              <c:pt idx="11">
                <c:v>5.5486948018233884</c:v>
              </c:pt>
              <c:pt idx="12">
                <c:v>6.1773282163788874</c:v>
              </c:pt>
              <c:pt idx="13">
                <c:v>6.849315659524426</c:v>
              </c:pt>
              <c:pt idx="14">
                <c:v>7.5646571312599846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22016"/>
        <c:axId val="109623936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40320"/>
        <c:axId val="109638400"/>
      </c:scatterChart>
      <c:valAx>
        <c:axId val="109622016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623936"/>
        <c:crosses val="autoZero"/>
        <c:crossBetween val="midCat"/>
        <c:majorUnit val="100"/>
      </c:valAx>
      <c:valAx>
        <c:axId val="1096239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622016"/>
        <c:crosses val="autoZero"/>
        <c:crossBetween val="midCat"/>
        <c:majorUnit val="1"/>
      </c:valAx>
      <c:valAx>
        <c:axId val="10963840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640320"/>
        <c:crosses val="max"/>
        <c:crossBetween val="midCat"/>
      </c:valAx>
      <c:valAx>
        <c:axId val="10964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638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'300113G6'!$N$28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843.75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'300113G6'!$N$30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'300113G6'!$Q$29:$Q$30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'300113G6'!$N$32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'300113G6'!$Q$31:$Q$32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'300113G6'!$N$34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'300113G6'!$Q$33:$Q$34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'300113G6'!$N$36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'300113G6'!$Q$35:$Q$36</c:f>
              <c:strCache>
                <c:ptCount val="2"/>
                <c:pt idx="0">
                  <c:v>N/A</c:v>
                </c:pt>
                <c:pt idx="1">
                  <c:v>750</c:v>
                </c:pt>
              </c:strCache>
            </c:strRef>
          </c:xVal>
          <c:yVal>
            <c:numRef>
              <c:f>'300113G6'!$R$35:$R$36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'300113G6'!$N$38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'300113G6'!$Q$37:$Q$38</c:f>
              <c:numCache>
                <c:formatCode>0</c:formatCode>
                <c:ptCount val="2"/>
                <c:pt idx="0">
                  <c:v>73.025342956130089</c:v>
                </c:pt>
                <c:pt idx="1">
                  <c:v>550</c:v>
                </c:pt>
              </c:numCache>
            </c:numRef>
          </c:xVal>
          <c:yVal>
            <c:numRef>
              <c:f>'300113G6'!$R$37:$R$38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536.59648917435368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67424"/>
        <c:axId val="108969344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'300113G6'!$P$36</c:f>
              <c:numCache>
                <c:formatCode>0.0</c:formatCode>
                <c:ptCount val="1"/>
                <c:pt idx="0">
                  <c:v>10.268432212033481</c:v>
                </c:pt>
              </c:numCache>
            </c:numRef>
          </c:xVal>
          <c:yVal>
            <c:numRef>
              <c:f>'300113G6'!$P$22</c:f>
              <c:numCache>
                <c:formatCode>0.00</c:formatCode>
                <c:ptCount val="1"/>
                <c:pt idx="0">
                  <c:v>92.460213049464627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73440"/>
        <c:axId val="108971520"/>
      </c:scatterChart>
      <c:valAx>
        <c:axId val="108967424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969344"/>
        <c:crossesAt val="0"/>
        <c:crossBetween val="midCat"/>
        <c:majorUnit val="100"/>
        <c:minorUnit val="100"/>
      </c:valAx>
      <c:valAx>
        <c:axId val="108969344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8967424"/>
        <c:crosses val="autoZero"/>
        <c:crossBetween val="midCat"/>
        <c:majorUnit val="100"/>
        <c:minorUnit val="1"/>
      </c:valAx>
      <c:valAx>
        <c:axId val="108971520"/>
        <c:scaling>
          <c:orientation val="minMax"/>
          <c:max val="237.8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8973440"/>
        <c:crosses val="max"/>
        <c:crossBetween val="midCat"/>
        <c:majorUnit val="25"/>
      </c:valAx>
      <c:valAx>
        <c:axId val="10897344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89715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5"/>
          <c:order val="0"/>
          <c:tx>
            <c:strRef>
              <c:f>'300113G6'!$N$37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'300113G6'!$O$37:$O$38</c:f>
              <c:numCache>
                <c:formatCode>0</c:formatCode>
                <c:ptCount val="2"/>
                <c:pt idx="0">
                  <c:v>0</c:v>
                </c:pt>
                <c:pt idx="1">
                  <c:v>550</c:v>
                </c:pt>
              </c:numCache>
            </c:numRef>
          </c:xVal>
          <c:yVal>
            <c:numRef>
              <c:f>'300113G6'!$P$37:$P$38</c:f>
              <c:numCache>
                <c:formatCode>0.0</c:formatCode>
                <c:ptCount val="2"/>
                <c:pt idx="0">
                  <c:v>0</c:v>
                </c:pt>
                <c:pt idx="1">
                  <c:v>9.8814336221578873</c:v>
                </c:pt>
              </c:numCache>
            </c:numRef>
          </c:yVal>
          <c:smooth val="1"/>
        </c:ser>
        <c:ser>
          <c:idx val="6"/>
          <c:order val="1"/>
          <c:tx>
            <c:strRef>
              <c:f>'300113G6'!$N$35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'300113G6'!$O$35:$O$36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'300113G6'!$P$35:$P$36</c:f>
              <c:numCache>
                <c:formatCode>0.0</c:formatCode>
                <c:ptCount val="2"/>
                <c:pt idx="0">
                  <c:v>0</c:v>
                </c:pt>
                <c:pt idx="1">
                  <c:v>10.268432212033481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'300113G6'!$N$33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'300113G6'!$O$33:$O$34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'300113G6'!$P$33:$P$34</c:f>
              <c:numCache>
                <c:formatCode>0.0</c:formatCode>
                <c:ptCount val="2"/>
                <c:pt idx="0">
                  <c:v>0</c:v>
                </c:pt>
                <c:pt idx="1">
                  <c:v>7.0621822120334814</c:v>
                </c:pt>
              </c:numCache>
            </c:numRef>
          </c:yVal>
          <c:smooth val="1"/>
        </c:ser>
        <c:ser>
          <c:idx val="2"/>
          <c:order val="3"/>
          <c:tx>
            <c:strRef>
              <c:f>'300113G6'!$N$31</c:f>
              <c:strCache>
                <c:ptCount val="1"/>
                <c:pt idx="0">
                  <c:v>2 / 30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'300113G6'!$O$31:$O$32</c:f>
              <c:numCache>
                <c:formatCode>0</c:formatCode>
                <c:ptCount val="2"/>
                <c:pt idx="0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'300113G6'!$P$31:$P$32</c:f>
              <c:numCache>
                <c:formatCode>0.0</c:formatCode>
                <c:ptCount val="2"/>
                <c:pt idx="0">
                  <c:v>0</c:v>
                </c:pt>
                <c:pt idx="1">
                  <c:v>5.459057212033481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'300113G6'!$N$29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'300113G6'!$O$29:$O$30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'300113G6'!$P$29:$P$30</c:f>
              <c:numCache>
                <c:formatCode>0.0</c:formatCode>
                <c:ptCount val="2"/>
                <c:pt idx="0">
                  <c:v>0</c:v>
                </c:pt>
                <c:pt idx="1">
                  <c:v>3.8559322120334816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'300113G6'!$N$27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'300113G6'!$O$27:$O$28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750</c:v>
                </c:pt>
              </c:numCache>
            </c:numRef>
          </c:xVal>
          <c:yVal>
            <c:numRef>
              <c:f>'300113G6'!$P$27:$P$28</c:f>
              <c:numCache>
                <c:formatCode>0.0</c:formatCode>
                <c:ptCount val="2"/>
                <c:pt idx="0">
                  <c:v>0</c:v>
                </c:pt>
                <c:pt idx="1">
                  <c:v>2.2528072120334817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36672"/>
        <c:axId val="109038592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'300113G6'!$O$23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'300113G6'!$P$23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42688"/>
        <c:axId val="109040768"/>
      </c:scatterChart>
      <c:valAx>
        <c:axId val="109036672"/>
        <c:scaling>
          <c:orientation val="minMax"/>
          <c:max val="75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038592"/>
        <c:crossesAt val="0"/>
        <c:crossBetween val="midCat"/>
        <c:majorUnit val="100"/>
        <c:minorUnit val="100"/>
      </c:valAx>
      <c:valAx>
        <c:axId val="10903859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036672"/>
        <c:crosses val="autoZero"/>
        <c:crossBetween val="midCat"/>
        <c:majorUnit val="1"/>
        <c:minorUnit val="1"/>
      </c:valAx>
      <c:valAx>
        <c:axId val="109040768"/>
        <c:scaling>
          <c:orientation val="minMax"/>
          <c:max val="16.100000000000001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042688"/>
        <c:crosses val="max"/>
        <c:crossBetween val="midCat"/>
        <c:majorUnit val="2"/>
      </c:valAx>
      <c:valAx>
        <c:axId val="10904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0407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'400180G1'!$O$1:$O$2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'400180G1'!$P$1:$P$2</c:f>
              <c:numCache>
                <c:formatCode>General</c:formatCode>
                <c:ptCount val="2"/>
                <c:pt idx="0">
                  <c:v>0</c:v>
                </c:pt>
                <c:pt idx="1">
                  <c:v>1260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'400180G1'!$O$3:$O$5</c:f>
              <c:numCache>
                <c:formatCode>General</c:formatCode>
                <c:ptCount val="3"/>
                <c:pt idx="0">
                  <c:v>12.068644762939414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'400180G1'!$P$3:$P$5</c:f>
              <c:numCache>
                <c:formatCode>General</c:formatCode>
                <c:ptCount val="3"/>
                <c:pt idx="0">
                  <c:v>0</c:v>
                </c:pt>
                <c:pt idx="1">
                  <c:v>914.27643942670909</c:v>
                </c:pt>
                <c:pt idx="2">
                  <c:v>1240.9644557602728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'400180G1'!$O$7:$O$8</c:f>
              <c:numCache>
                <c:formatCode>General</c:formatCode>
                <c:ptCount val="2"/>
                <c:pt idx="0">
                  <c:v>6.8478071780392611</c:v>
                </c:pt>
                <c:pt idx="1">
                  <c:v>700</c:v>
                </c:pt>
              </c:numCache>
            </c:numRef>
          </c:xVal>
          <c:yVal>
            <c:numRef>
              <c:f>'400180G1'!$P$7:$P$8</c:f>
              <c:numCache>
                <c:formatCode>General</c:formatCode>
                <c:ptCount val="2"/>
                <c:pt idx="0">
                  <c:v>0</c:v>
                </c:pt>
                <c:pt idx="1">
                  <c:v>1247.6739470795294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'400180G1'!$O$6</c:f>
              <c:numCache>
                <c:formatCode>0</c:formatCode>
                <c:ptCount val="1"/>
                <c:pt idx="0">
                  <c:v>43</c:v>
                </c:pt>
              </c:numCache>
            </c:numRef>
          </c:xVal>
          <c:yVal>
            <c:numRef>
              <c:f>'400180G1'!$P$6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26400"/>
        <c:axId val="10912832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'400180G1'!$O$9:$O$10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'400180G1'!$P$9:$P$10</c:f>
              <c:numCache>
                <c:formatCode>General</c:formatCode>
                <c:ptCount val="2"/>
                <c:pt idx="0">
                  <c:v>0</c:v>
                </c:pt>
                <c:pt idx="1">
                  <c:v>277.16113092299935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38688"/>
        <c:axId val="109140224"/>
      </c:scatterChart>
      <c:valAx>
        <c:axId val="10912640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128320"/>
        <c:crossesAt val="0"/>
        <c:crossBetween val="midCat"/>
        <c:majorUnit val="100"/>
      </c:valAx>
      <c:valAx>
        <c:axId val="109128320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126400"/>
        <c:crosses val="autoZero"/>
        <c:crossBetween val="midCat"/>
        <c:majorUnit val="100"/>
        <c:minorUnit val="10"/>
      </c:valAx>
      <c:valAx>
        <c:axId val="10913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140224"/>
        <c:crosses val="autoZero"/>
        <c:crossBetween val="midCat"/>
      </c:valAx>
      <c:valAx>
        <c:axId val="109140224"/>
        <c:scaling>
          <c:orientation val="minMax"/>
          <c:max val="343.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138688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2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'400180G1'!$O$41</c:f>
              <c:numCache>
                <c:formatCode>0</c:formatCode>
                <c:ptCount val="1"/>
                <c:pt idx="0">
                  <c:v>43</c:v>
                </c:pt>
              </c:numCache>
            </c:numRef>
          </c:xVal>
          <c:yVal>
            <c:numRef>
              <c:f>'400180G1'!$P$42</c:f>
              <c:numCache>
                <c:formatCode>0.00</c:formatCode>
                <c:ptCount val="1"/>
                <c:pt idx="0">
                  <c:v>1.813776781541552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3.9714466446873842</c:v>
              </c:pt>
              <c:pt idx="1">
                <c:v>6.0492384794442424</c:v>
              </c:pt>
              <c:pt idx="2">
                <c:v>8.7206851241316201</c:v>
              </c:pt>
              <c:pt idx="3">
                <c:v>11.98578657874976</c:v>
              </c:pt>
              <c:pt idx="4">
                <c:v>15.844542843297999</c:v>
              </c:pt>
              <c:pt idx="5">
                <c:v>20.29695391777696</c:v>
              </c:pt>
              <c:pt idx="6">
                <c:v>25.343019802186468</c:v>
              </c:pt>
              <c:pt idx="7">
                <c:v>30.98274049652618</c:v>
              </c:pt>
              <c:pt idx="8">
                <c:v>37.216116000797072</c:v>
              </c:pt>
              <c:pt idx="9">
                <c:v>44.043146314998168</c:v>
              </c:pt>
              <c:pt idx="10">
                <c:v>51.463831439129812</c:v>
              </c:pt>
              <c:pt idx="11">
                <c:v>59.478171373191962</c:v>
              </c:pt>
              <c:pt idx="12">
                <c:v>68.086166117183666</c:v>
              </c:pt>
              <c:pt idx="13">
                <c:v>77.287815671108575</c:v>
              </c:pt>
              <c:pt idx="14">
                <c:v>87.08312003496161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1.82487828956946</c:v>
              </c:pt>
              <c:pt idx="1">
                <c:v>2.2331169592346121</c:v>
              </c:pt>
              <c:pt idx="2">
                <c:v>2.7579952488041082</c:v>
              </c:pt>
              <c:pt idx="3">
                <c:v>3.3995131582778759</c:v>
              </c:pt>
              <c:pt idx="4">
                <c:v>4.1576706876559646</c:v>
              </c:pt>
              <c:pt idx="5">
                <c:v>5.0324678369384346</c:v>
              </c:pt>
              <c:pt idx="6">
                <c:v>6.0239046061251598</c:v>
              </c:pt>
              <c:pt idx="7">
                <c:v>7.1319809952163222</c:v>
              </c:pt>
              <c:pt idx="8">
                <c:v>8.3566970042117568</c:v>
              </c:pt>
              <c:pt idx="9">
                <c:v>9.698052633111498</c:v>
              </c:pt>
              <c:pt idx="10">
                <c:v>11.156047881915599</c:v>
              </c:pt>
              <c:pt idx="11">
                <c:v>12.730682750624</c:v>
              </c:pt>
              <c:pt idx="12">
                <c:v>14.421957239236731</c:v>
              </c:pt>
              <c:pt idx="13">
                <c:v>16.229871347753789</c:v>
              </c:pt>
              <c:pt idx="14">
                <c:v>18.154425076175169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2.9662574890770772</c:v>
              </c:pt>
              <c:pt idx="1">
                <c:v>4.262235536136977</c:v>
              </c:pt>
              <c:pt idx="2">
                <c:v>5.9284930252141859</c:v>
              </c:pt>
              <c:pt idx="3">
                <c:v>7.965029956308344</c:v>
              </c:pt>
              <c:pt idx="4">
                <c:v>10.371846329419769</c:v>
              </c:pt>
              <c:pt idx="5">
                <c:v>13.148942144548149</c:v>
              </c:pt>
              <c:pt idx="6">
                <c:v>16.29631740169377</c:v>
              </c:pt>
              <c:pt idx="7">
                <c:v>19.813972100856759</c:v>
              </c:pt>
              <c:pt idx="8">
                <c:v>23.70190624203638</c:v>
              </c:pt>
              <c:pt idx="9">
                <c:v>27.9601198252331</c:v>
              </c:pt>
              <c:pt idx="10">
                <c:v>32.588612850447497</c:v>
              </c:pt>
              <c:pt idx="11">
                <c:v>37.587385317678759</c:v>
              </c:pt>
              <c:pt idx="12">
                <c:v>42.95643722692715</c:v>
              </c:pt>
              <c:pt idx="13">
                <c:v>48.695768578192663</c:v>
              </c:pt>
              <c:pt idx="14">
                <c:v>54.805379371475318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1.7333777198707629</c:v>
              </c:pt>
              <c:pt idx="1">
                <c:v>2.0704492797702372</c:v>
              </c:pt>
              <c:pt idx="2">
                <c:v>2.503826999641007</c:v>
              </c:pt>
              <c:pt idx="3">
                <c:v>3.0335108794830492</c:v>
              </c:pt>
              <c:pt idx="4">
                <c:v>3.6595009192963741</c:v>
              </c:pt>
              <c:pt idx="5">
                <c:v>4.3817971190809804</c:v>
              </c:pt>
              <c:pt idx="6">
                <c:v>5.2003994788368724</c:v>
              </c:pt>
              <c:pt idx="7">
                <c:v>6.1153079985640284</c:v>
              </c:pt>
              <c:pt idx="8">
                <c:v>7.1265226782624289</c:v>
              </c:pt>
              <c:pt idx="9">
                <c:v>8.2340435179321982</c:v>
              </c:pt>
              <c:pt idx="10">
                <c:v>9.4378705175732058</c:v>
              </c:pt>
              <c:pt idx="11">
                <c:v>10.738003677185491</c:v>
              </c:pt>
              <c:pt idx="12">
                <c:v>12.134442996769071</c:v>
              </c:pt>
              <c:pt idx="13">
                <c:v>13.62718847632391</c:v>
              </c:pt>
              <c:pt idx="14">
                <c:v>15.21624011585004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2.3889279243218779</c:v>
              </c:pt>
              <c:pt idx="1">
                <c:v>3.23587186546112</c:v>
              </c:pt>
              <c:pt idx="2">
                <c:v>4.3247997897829968</c:v>
              </c:pt>
              <c:pt idx="3">
                <c:v>5.6557116972874661</c:v>
              </c:pt>
              <c:pt idx="4">
                <c:v>7.2286075879746834</c:v>
              </c:pt>
              <c:pt idx="5">
                <c:v>9.0434874618444709</c:v>
              </c:pt>
              <c:pt idx="6">
                <c:v>11.100351318896911</c:v>
              </c:pt>
              <c:pt idx="7">
                <c:v>13.399199159132021</c:v>
              </c:pt>
              <c:pt idx="8">
                <c:v>15.9400309825497</c:v>
              </c:pt>
              <c:pt idx="9">
                <c:v>18.722846789150029</c:v>
              </c:pt>
              <c:pt idx="10">
                <c:v>21.747646578932699</c:v>
              </c:pt>
              <c:pt idx="11">
                <c:v>25.014430351898731</c:v>
              </c:pt>
              <c:pt idx="12">
                <c:v>28.523198108047001</c:v>
              </c:pt>
              <c:pt idx="13">
                <c:v>32.273949847377963</c:v>
              </c:pt>
              <c:pt idx="14">
                <c:v>36.266685569891337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1.643981877237835</c:v>
              </c:pt>
              <c:pt idx="1">
                <c:v>1.9115233373117071</c:v>
              </c:pt>
              <c:pt idx="2">
                <c:v>2.2555052145495429</c:v>
              </c:pt>
              <c:pt idx="3">
                <c:v>2.6759275089513781</c:v>
              </c:pt>
              <c:pt idx="4">
                <c:v>3.1727902205171041</c:v>
              </c:pt>
              <c:pt idx="5">
                <c:v>3.7460933492468298</c:v>
              </c:pt>
              <c:pt idx="6">
                <c:v>4.3958368951405147</c:v>
              </c:pt>
              <c:pt idx="7">
                <c:v>5.1220208581981188</c:v>
              </c:pt>
              <c:pt idx="8">
                <c:v>5.9246452384197754</c:v>
              </c:pt>
              <c:pt idx="9">
                <c:v>6.8037100358053673</c:v>
              </c:pt>
              <c:pt idx="10">
                <c:v>7.7592152503549077</c:v>
              </c:pt>
              <c:pt idx="11">
                <c:v>8.7911608820684179</c:v>
              </c:pt>
              <c:pt idx="12">
                <c:v>9.89954693094605</c:v>
              </c:pt>
              <c:pt idx="13">
                <c:v>11.084373396987321</c:v>
              </c:pt>
              <c:pt idx="14">
                <c:v>12.34564028019272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1.9841900345557371</c:v>
              </c:pt>
              <c:pt idx="1">
                <c:v>2.5163378392101672</c:v>
              </c:pt>
              <c:pt idx="2">
                <c:v>3.2005278737658882</c:v>
              </c:pt>
              <c:pt idx="3">
                <c:v>4.0367601382229124</c:v>
              </c:pt>
              <c:pt idx="4">
                <c:v>5.0250346325811366</c:v>
              </c:pt>
              <c:pt idx="5">
                <c:v>6.1653513568406666</c:v>
              </c:pt>
              <c:pt idx="6">
                <c:v>7.457710311001474</c:v>
              </c:pt>
              <c:pt idx="7">
                <c:v>8.9021114950635507</c:v>
              </c:pt>
              <c:pt idx="8">
                <c:v>10.49855490902698</c:v>
              </c:pt>
              <c:pt idx="9">
                <c:v>12.247040552891511</c:v>
              </c:pt>
              <c:pt idx="10">
                <c:v>14.147568426657321</c:v>
              </c:pt>
              <c:pt idx="11">
                <c:v>16.200138530324342</c:v>
              </c:pt>
              <c:pt idx="12">
                <c:v>18.404750863892989</c:v>
              </c:pt>
              <c:pt idx="13">
                <c:v>20.761405427362689</c:v>
              </c:pt>
              <c:pt idx="14">
                <c:v>23.27010222073347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1.6107678155568861</c:v>
              </c:pt>
              <c:pt idx="1">
                <c:v>1.8524761165455741</c:v>
              </c:pt>
              <c:pt idx="2">
                <c:v>2.1632439321024601</c:v>
              </c:pt>
              <c:pt idx="3">
                <c:v>2.54307126222758</c:v>
              </c:pt>
              <c:pt idx="4">
                <c:v>2.9919581069207939</c:v>
              </c:pt>
              <c:pt idx="5">
                <c:v>3.5099044661822938</c:v>
              </c:pt>
              <c:pt idx="6">
                <c:v>4.0969103400119646</c:v>
              </c:pt>
              <c:pt idx="7">
                <c:v>4.752975728409834</c:v>
              </c:pt>
              <c:pt idx="8">
                <c:v>5.4781006313759004</c:v>
              </c:pt>
              <c:pt idx="9">
                <c:v>6.2722850489101614</c:v>
              </c:pt>
              <c:pt idx="10">
                <c:v>7.1355289810126434</c:v>
              </c:pt>
              <c:pt idx="11">
                <c:v>8.0678324276832747</c:v>
              </c:pt>
              <c:pt idx="12">
                <c:v>9.0691953889221271</c:v>
              </c:pt>
              <c:pt idx="13">
                <c:v>10.139617864729169</c:v>
              </c:pt>
              <c:pt idx="14">
                <c:v>11.2790998551045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0560"/>
        <c:axId val="109416832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20928"/>
        <c:axId val="109418752"/>
      </c:scatterChart>
      <c:valAx>
        <c:axId val="10941056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416832"/>
        <c:crosses val="autoZero"/>
        <c:crossBetween val="midCat"/>
        <c:majorUnit val="100"/>
      </c:valAx>
      <c:valAx>
        <c:axId val="10941683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8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410560"/>
        <c:crosses val="autoZero"/>
        <c:crossBetween val="midCat"/>
        <c:majorUnit val="1"/>
      </c:valAx>
      <c:valAx>
        <c:axId val="109418752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9420928"/>
        <c:crosses val="max"/>
        <c:crossBetween val="midCat"/>
      </c:valAx>
      <c:valAx>
        <c:axId val="10942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418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'400180G2'!$N$28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1260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'400180G2'!$N$30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'400180G2'!$Q$29:$Q$30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'400180G2'!$N$32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'400180G2'!$Q$31:$Q$32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'400180G2'!$Q$33:$Q$34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'400180G2'!$N$36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'400180G2'!$Q$35:$Q$36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'400180G2'!$N$38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'400180G2'!$Q$37:$Q$38</c:f>
              <c:strCache>
                <c:ptCount val="2"/>
                <c:pt idx="0">
                  <c:v>N/A</c:v>
                </c:pt>
                <c:pt idx="1">
                  <c:v>623</c:v>
                </c:pt>
              </c:strCache>
            </c:strRef>
          </c:xVal>
          <c:yVal>
            <c:numRef>
              <c:f>'400180G2'!$R$37:$R$38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'400180G2'!$N$40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'400180G2'!$Q$39:$Q$40</c:f>
              <c:numCache>
                <c:formatCode>0</c:formatCode>
                <c:ptCount val="2"/>
                <c:pt idx="0">
                  <c:v>12.068644762939373</c:v>
                </c:pt>
                <c:pt idx="1">
                  <c:v>520</c:v>
                </c:pt>
              </c:numCache>
            </c:numRef>
          </c:xVal>
          <c:yVal>
            <c:numRef>
              <c:f>'400180G2'!$R$39:$R$40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914.27643942670909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57120"/>
        <c:axId val="10995904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'400180G2'!$P$36</c:f>
              <c:numCache>
                <c:formatCode>0.0</c:formatCode>
                <c:ptCount val="1"/>
                <c:pt idx="0">
                  <c:v>23.113432498138163</c:v>
                </c:pt>
              </c:numCache>
            </c:numRef>
          </c:xVal>
          <c:yVal>
            <c:numRef>
              <c:f>'400180G2'!$P$22</c:f>
              <c:numCache>
                <c:formatCode>0.00</c:formatCode>
                <c:ptCount val="1"/>
                <c:pt idx="0">
                  <c:v>343.42364846944002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5424"/>
        <c:axId val="109973504"/>
      </c:scatterChart>
      <c:valAx>
        <c:axId val="10995712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959040"/>
        <c:crossesAt val="0"/>
        <c:crossBetween val="midCat"/>
        <c:majorUnit val="100"/>
        <c:minorUnit val="100"/>
      </c:valAx>
      <c:valAx>
        <c:axId val="109959040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957120"/>
        <c:crosses val="autoZero"/>
        <c:crossBetween val="midCat"/>
        <c:majorUnit val="100"/>
        <c:minorUnit val="1"/>
      </c:valAx>
      <c:valAx>
        <c:axId val="109973504"/>
        <c:scaling>
          <c:orientation val="minMax"/>
          <c:max val="343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3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975424"/>
        <c:crosses val="max"/>
        <c:crossBetween val="midCat"/>
        <c:majorUnit val="50"/>
      </c:valAx>
      <c:valAx>
        <c:axId val="10997542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99735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8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'400180G2'!$N$39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'400180G2'!$O$39:$O$40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'400180G2'!$P$39:$P$40</c:f>
              <c:numCache>
                <c:formatCode>0.0</c:formatCode>
                <c:ptCount val="2"/>
                <c:pt idx="0">
                  <c:v>0</c:v>
                </c:pt>
                <c:pt idx="1">
                  <c:v>26.06197842718835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'400180G2'!$N$37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'400180G2'!$O$37:$O$38</c:f>
              <c:numCache>
                <c:formatCode>0</c:formatCode>
                <c:ptCount val="2"/>
                <c:pt idx="0">
                  <c:v>0</c:v>
                </c:pt>
                <c:pt idx="1">
                  <c:v>622.85714285714289</c:v>
                </c:pt>
              </c:numCache>
            </c:numRef>
          </c:xVal>
          <c:yVal>
            <c:numRef>
              <c:f>'400180G2'!$P$37:$P$38</c:f>
              <c:numCache>
                <c:formatCode>0.0</c:formatCode>
                <c:ptCount val="2"/>
                <c:pt idx="0">
                  <c:v>0</c:v>
                </c:pt>
                <c:pt idx="1">
                  <c:v>26.956752182016821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'400180G2'!$N$35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'400180G2'!$O$35:$O$36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'400180G2'!$P$35:$P$36</c:f>
              <c:numCache>
                <c:formatCode>0.0</c:formatCode>
                <c:ptCount val="2"/>
                <c:pt idx="0">
                  <c:v>0</c:v>
                </c:pt>
                <c:pt idx="1">
                  <c:v>23.113432498138163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'400180G2'!$N$33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'400180G2'!$O$33:$O$34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'400180G2'!$P$33:$P$34</c:f>
              <c:numCache>
                <c:formatCode>0.0</c:formatCode>
                <c:ptCount val="2"/>
                <c:pt idx="0">
                  <c:v>0</c:v>
                </c:pt>
                <c:pt idx="1">
                  <c:v>18.325432498138166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'400180G2'!$N$31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'400180G2'!$O$31:$O$32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'400180G2'!$P$31:$P$32</c:f>
              <c:numCache>
                <c:formatCode>0.0</c:formatCode>
                <c:ptCount val="2"/>
                <c:pt idx="0">
                  <c:v>0</c:v>
                </c:pt>
                <c:pt idx="1">
                  <c:v>13.537432498138164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'400180G2'!$N$29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'400180G2'!$O$29:$O$30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'400180G2'!$P$29:$P$30</c:f>
              <c:numCache>
                <c:formatCode>0.0</c:formatCode>
                <c:ptCount val="2"/>
                <c:pt idx="0">
                  <c:v>0</c:v>
                </c:pt>
                <c:pt idx="1">
                  <c:v>8.7494324981381659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'400180G2'!$N$27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'400180G2'!$O$27:$O$28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'400180G2'!$P$27:$P$28</c:f>
              <c:numCache>
                <c:formatCode>0.0</c:formatCode>
                <c:ptCount val="2"/>
                <c:pt idx="0">
                  <c:v>0</c:v>
                </c:pt>
                <c:pt idx="1">
                  <c:v>6.3554324981381658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39424"/>
        <c:axId val="110041344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'400180G2'!$O$23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'400180G2'!$P$23</c:f>
              <c:numCache>
                <c:formatCode>0.00</c:formatCode>
                <c:ptCount val="1"/>
                <c:pt idx="0">
                  <c:v>46.935769999999998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53632"/>
        <c:axId val="110051712"/>
      </c:scatterChart>
      <c:valAx>
        <c:axId val="110039424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041344"/>
        <c:crossesAt val="0"/>
        <c:crossBetween val="midCat"/>
        <c:majorUnit val="100"/>
        <c:minorUnit val="100"/>
      </c:valAx>
      <c:valAx>
        <c:axId val="110041344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039424"/>
        <c:crosses val="autoZero"/>
        <c:crossBetween val="midCat"/>
        <c:majorUnit val="5"/>
        <c:minorUnit val="1"/>
      </c:valAx>
      <c:valAx>
        <c:axId val="110051712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0053632"/>
        <c:crosses val="max"/>
        <c:crossBetween val="midCat"/>
        <c:majorUnit val="5"/>
      </c:valAx>
      <c:valAx>
        <c:axId val="11005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0517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798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'400180G3'!$O$1:$O$2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'400180G3'!$P$1:$P$2</c:f>
              <c:numCache>
                <c:formatCode>General</c:formatCode>
                <c:ptCount val="2"/>
                <c:pt idx="0">
                  <c:v>0</c:v>
                </c:pt>
                <c:pt idx="1">
                  <c:v>1260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'400180G3'!$O$3:$O$5</c:f>
              <c:numCache>
                <c:formatCode>General</c:formatCode>
                <c:ptCount val="3"/>
                <c:pt idx="0">
                  <c:v>50.957533651828271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'400180G3'!$P$3:$P$5</c:f>
              <c:numCache>
                <c:formatCode>General</c:formatCode>
                <c:ptCount val="3"/>
                <c:pt idx="0">
                  <c:v>0</c:v>
                </c:pt>
                <c:pt idx="1">
                  <c:v>844.27643942670909</c:v>
                </c:pt>
                <c:pt idx="2">
                  <c:v>1187.0061224269396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'400180G3'!$O$7:$O$8</c:f>
              <c:numCache>
                <c:formatCode>General</c:formatCode>
                <c:ptCount val="2"/>
                <c:pt idx="0">
                  <c:v>7.5755283277081844</c:v>
                </c:pt>
                <c:pt idx="1">
                  <c:v>700</c:v>
                </c:pt>
              </c:numCache>
            </c:numRef>
          </c:xVal>
          <c:yVal>
            <c:numRef>
              <c:f>'400180G3'!$P$7:$P$8</c:f>
              <c:numCache>
                <c:formatCode>General</c:formatCode>
                <c:ptCount val="2"/>
                <c:pt idx="0">
                  <c:v>0</c:v>
                </c:pt>
                <c:pt idx="1">
                  <c:v>1246.3640490101252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'400180G3'!$O$6</c:f>
              <c:numCache>
                <c:formatCode>0</c:formatCode>
                <c:ptCount val="1"/>
                <c:pt idx="0">
                  <c:v>44</c:v>
                </c:pt>
              </c:numCache>
            </c:numRef>
          </c:xVal>
          <c:yVal>
            <c:numRef>
              <c:f>'400180G3'!$P$6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98272"/>
        <c:axId val="105400192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'400180G3'!$O$9:$O$10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'400180G3'!$P$9:$P$10</c:f>
              <c:numCache>
                <c:formatCode>General</c:formatCode>
                <c:ptCount val="2"/>
                <c:pt idx="0">
                  <c:v>0</c:v>
                </c:pt>
                <c:pt idx="1">
                  <c:v>277.16113092299935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414656"/>
        <c:axId val="105416192"/>
      </c:scatterChart>
      <c:valAx>
        <c:axId val="105398272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400192"/>
        <c:crossesAt val="0"/>
        <c:crossBetween val="midCat"/>
        <c:majorUnit val="100"/>
      </c:valAx>
      <c:valAx>
        <c:axId val="105400192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398272"/>
        <c:crosses val="autoZero"/>
        <c:crossBetween val="midCat"/>
        <c:majorUnit val="100"/>
        <c:minorUnit val="10"/>
      </c:valAx>
      <c:valAx>
        <c:axId val="1054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416192"/>
        <c:crosses val="autoZero"/>
        <c:crossBetween val="midCat"/>
      </c:valAx>
      <c:valAx>
        <c:axId val="105416192"/>
        <c:scaling>
          <c:orientation val="minMax"/>
          <c:max val="343.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5414656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'100005G5'!$O$1:$O$2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'100005G5'!$P$1:$P$2</c:f>
              <c:numCache>
                <c:formatCode>General</c:formatCode>
                <c:ptCount val="2"/>
                <c:pt idx="0">
                  <c:v>0</c:v>
                </c:pt>
                <c:pt idx="1">
                  <c:v>64.400000000000006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'100005G5'!$O$3:$O$5</c:f>
              <c:numCache>
                <c:formatCode>General</c:formatCode>
                <c:ptCount val="3"/>
                <c:pt idx="0">
                  <c:v>319.15992014232756</c:v>
                </c:pt>
                <c:pt idx="1">
                  <c:v>1000</c:v>
                </c:pt>
                <c:pt idx="2">
                  <c:v>1400</c:v>
                </c:pt>
              </c:numCache>
            </c:numRef>
          </c:xVal>
          <c:yVal>
            <c:numRef>
              <c:f>'100005G5'!$P$3:$P$5</c:f>
              <c:numCache>
                <c:formatCode>General</c:formatCode>
                <c:ptCount val="3"/>
                <c:pt idx="0">
                  <c:v>0</c:v>
                </c:pt>
                <c:pt idx="1">
                  <c:v>31.318643673452932</c:v>
                </c:pt>
                <c:pt idx="2">
                  <c:v>52.330271620903076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'100005G5'!$O$7:$O$8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'100005G5'!$P$7:$P$8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'100005G5'!$O$6</c:f>
              <c:strCache>
                <c:ptCount val="1"/>
                <c:pt idx="0">
                  <c:v>N/A</c:v>
                </c:pt>
              </c:strCache>
            </c:strRef>
          </c:xVal>
          <c:yVal>
            <c:numRef>
              <c:f>'100005G5'!$P$6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17760"/>
        <c:axId val="8053222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'100005G5'!$O$9:$O$10</c:f>
              <c:numCache>
                <c:formatCode>General</c:formatCode>
                <c:ptCount val="2"/>
                <c:pt idx="0">
                  <c:v>0</c:v>
                </c:pt>
                <c:pt idx="1">
                  <c:v>1400</c:v>
                </c:pt>
              </c:numCache>
            </c:numRef>
          </c:xVal>
          <c:yVal>
            <c:numRef>
              <c:f>'100005G5'!$P$9:$P$10</c:f>
              <c:numCache>
                <c:formatCode>General</c:formatCode>
                <c:ptCount val="2"/>
                <c:pt idx="0">
                  <c:v>0</c:v>
                </c:pt>
                <c:pt idx="1">
                  <c:v>14.166013358286635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34144"/>
        <c:axId val="80839040"/>
      </c:scatterChart>
      <c:valAx>
        <c:axId val="80517760"/>
        <c:scaling>
          <c:orientation val="minMax"/>
          <c:max val="14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32224"/>
        <c:crossesAt val="0"/>
        <c:crossBetween val="midCat"/>
        <c:majorUnit val="200"/>
      </c:valAx>
      <c:valAx>
        <c:axId val="80532224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5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17760"/>
        <c:crosses val="autoZero"/>
        <c:crossBetween val="midCat"/>
        <c:majorUnit val="10"/>
        <c:minorUnit val="10"/>
      </c:valAx>
      <c:valAx>
        <c:axId val="8053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839040"/>
        <c:crosses val="autoZero"/>
        <c:crossBetween val="midCat"/>
      </c:valAx>
      <c:valAx>
        <c:axId val="80839040"/>
        <c:scaling>
          <c:orientation val="minMax"/>
          <c:max val="18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80534144"/>
        <c:crosses val="max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'400180G3'!$O$41</c:f>
              <c:numCache>
                <c:formatCode>0</c:formatCode>
                <c:ptCount val="1"/>
                <c:pt idx="0">
                  <c:v>44</c:v>
                </c:pt>
              </c:numCache>
            </c:numRef>
          </c:xVal>
          <c:yVal>
            <c:numRef>
              <c:f>'400180G3'!$P$42</c:f>
              <c:numCache>
                <c:formatCode>0.00</c:formatCode>
                <c:ptCount val="1"/>
                <c:pt idx="0">
                  <c:v>1.8159562050150886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3.9714466446873842</c:v>
              </c:pt>
              <c:pt idx="1">
                <c:v>6.0492384794442424</c:v>
              </c:pt>
              <c:pt idx="2">
                <c:v>8.7206851241316201</c:v>
              </c:pt>
              <c:pt idx="3">
                <c:v>11.98578657874976</c:v>
              </c:pt>
              <c:pt idx="4">
                <c:v>15.844542843297999</c:v>
              </c:pt>
              <c:pt idx="5">
                <c:v>20.29695391777696</c:v>
              </c:pt>
              <c:pt idx="6">
                <c:v>25.343019802186468</c:v>
              </c:pt>
              <c:pt idx="7">
                <c:v>30.98274049652618</c:v>
              </c:pt>
              <c:pt idx="8">
                <c:v>37.216116000797072</c:v>
              </c:pt>
              <c:pt idx="9">
                <c:v>44.043146314998168</c:v>
              </c:pt>
              <c:pt idx="10">
                <c:v>51.463831439129812</c:v>
              </c:pt>
              <c:pt idx="11">
                <c:v>59.478171373191962</c:v>
              </c:pt>
              <c:pt idx="12">
                <c:v>68.086166117183666</c:v>
              </c:pt>
              <c:pt idx="13">
                <c:v>77.287815671108575</c:v>
              </c:pt>
              <c:pt idx="14">
                <c:v>87.08312003496161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1.82487828956946</c:v>
              </c:pt>
              <c:pt idx="1">
                <c:v>2.2331169592346121</c:v>
              </c:pt>
              <c:pt idx="2">
                <c:v>2.7579952488041082</c:v>
              </c:pt>
              <c:pt idx="3">
                <c:v>3.3995131582778759</c:v>
              </c:pt>
              <c:pt idx="4">
                <c:v>4.1576706876559646</c:v>
              </c:pt>
              <c:pt idx="5">
                <c:v>5.0324678369384346</c:v>
              </c:pt>
              <c:pt idx="6">
                <c:v>6.0239046061251598</c:v>
              </c:pt>
              <c:pt idx="7">
                <c:v>7.1319809952163222</c:v>
              </c:pt>
              <c:pt idx="8">
                <c:v>8.3566970042117568</c:v>
              </c:pt>
              <c:pt idx="9">
                <c:v>9.698052633111498</c:v>
              </c:pt>
              <c:pt idx="10">
                <c:v>11.156047881915599</c:v>
              </c:pt>
              <c:pt idx="11">
                <c:v>12.730682750624</c:v>
              </c:pt>
              <c:pt idx="12">
                <c:v>14.421957239236731</c:v>
              </c:pt>
              <c:pt idx="13">
                <c:v>16.229871347753789</c:v>
              </c:pt>
              <c:pt idx="14">
                <c:v>18.154425076175169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2.9662574890770772</c:v>
              </c:pt>
              <c:pt idx="1">
                <c:v>4.262235536136977</c:v>
              </c:pt>
              <c:pt idx="2">
                <c:v>5.9284930252141859</c:v>
              </c:pt>
              <c:pt idx="3">
                <c:v>7.965029956308344</c:v>
              </c:pt>
              <c:pt idx="4">
                <c:v>10.371846329419769</c:v>
              </c:pt>
              <c:pt idx="5">
                <c:v>13.148942144548149</c:v>
              </c:pt>
              <c:pt idx="6">
                <c:v>16.29631740169377</c:v>
              </c:pt>
              <c:pt idx="7">
                <c:v>19.813972100856759</c:v>
              </c:pt>
              <c:pt idx="8">
                <c:v>23.70190624203638</c:v>
              </c:pt>
              <c:pt idx="9">
                <c:v>27.9601198252331</c:v>
              </c:pt>
              <c:pt idx="10">
                <c:v>32.588612850447497</c:v>
              </c:pt>
              <c:pt idx="11">
                <c:v>37.587385317678759</c:v>
              </c:pt>
              <c:pt idx="12">
                <c:v>42.95643722692715</c:v>
              </c:pt>
              <c:pt idx="13">
                <c:v>48.695768578192663</c:v>
              </c:pt>
              <c:pt idx="14">
                <c:v>54.805379371475318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1.7333777198707629</c:v>
              </c:pt>
              <c:pt idx="1">
                <c:v>2.0704492797702372</c:v>
              </c:pt>
              <c:pt idx="2">
                <c:v>2.503826999641007</c:v>
              </c:pt>
              <c:pt idx="3">
                <c:v>3.0335108794830492</c:v>
              </c:pt>
              <c:pt idx="4">
                <c:v>3.6595009192963741</c:v>
              </c:pt>
              <c:pt idx="5">
                <c:v>4.3817971190809804</c:v>
              </c:pt>
              <c:pt idx="6">
                <c:v>5.2003994788368724</c:v>
              </c:pt>
              <c:pt idx="7">
                <c:v>6.1153079985640284</c:v>
              </c:pt>
              <c:pt idx="8">
                <c:v>7.1265226782624289</c:v>
              </c:pt>
              <c:pt idx="9">
                <c:v>8.2340435179321982</c:v>
              </c:pt>
              <c:pt idx="10">
                <c:v>9.4378705175732058</c:v>
              </c:pt>
              <c:pt idx="11">
                <c:v>10.738003677185491</c:v>
              </c:pt>
              <c:pt idx="12">
                <c:v>12.134442996769071</c:v>
              </c:pt>
              <c:pt idx="13">
                <c:v>13.62718847632391</c:v>
              </c:pt>
              <c:pt idx="14">
                <c:v>15.21624011585004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2.3889279243218779</c:v>
              </c:pt>
              <c:pt idx="1">
                <c:v>3.23587186546112</c:v>
              </c:pt>
              <c:pt idx="2">
                <c:v>4.3247997897829968</c:v>
              </c:pt>
              <c:pt idx="3">
                <c:v>5.6557116972874661</c:v>
              </c:pt>
              <c:pt idx="4">
                <c:v>7.2286075879746834</c:v>
              </c:pt>
              <c:pt idx="5">
                <c:v>9.0434874618444709</c:v>
              </c:pt>
              <c:pt idx="6">
                <c:v>11.100351318896911</c:v>
              </c:pt>
              <c:pt idx="7">
                <c:v>13.399199159132021</c:v>
              </c:pt>
              <c:pt idx="8">
                <c:v>15.9400309825497</c:v>
              </c:pt>
              <c:pt idx="9">
                <c:v>18.722846789150029</c:v>
              </c:pt>
              <c:pt idx="10">
                <c:v>21.747646578932699</c:v>
              </c:pt>
              <c:pt idx="11">
                <c:v>25.014430351898731</c:v>
              </c:pt>
              <c:pt idx="12">
                <c:v>28.523198108047001</c:v>
              </c:pt>
              <c:pt idx="13">
                <c:v>32.273949847377963</c:v>
              </c:pt>
              <c:pt idx="14">
                <c:v>36.266685569891337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1.643981877237835</c:v>
              </c:pt>
              <c:pt idx="1">
                <c:v>1.9115233373117071</c:v>
              </c:pt>
              <c:pt idx="2">
                <c:v>2.2555052145495429</c:v>
              </c:pt>
              <c:pt idx="3">
                <c:v>2.6759275089513781</c:v>
              </c:pt>
              <c:pt idx="4">
                <c:v>3.1727902205171041</c:v>
              </c:pt>
              <c:pt idx="5">
                <c:v>3.7460933492468298</c:v>
              </c:pt>
              <c:pt idx="6">
                <c:v>4.3958368951405147</c:v>
              </c:pt>
              <c:pt idx="7">
                <c:v>5.1220208581981188</c:v>
              </c:pt>
              <c:pt idx="8">
                <c:v>5.9246452384197754</c:v>
              </c:pt>
              <c:pt idx="9">
                <c:v>6.8037100358053673</c:v>
              </c:pt>
              <c:pt idx="10">
                <c:v>7.7592152503549077</c:v>
              </c:pt>
              <c:pt idx="11">
                <c:v>8.7911608820684179</c:v>
              </c:pt>
              <c:pt idx="12">
                <c:v>9.89954693094605</c:v>
              </c:pt>
              <c:pt idx="13">
                <c:v>11.084373396987321</c:v>
              </c:pt>
              <c:pt idx="14">
                <c:v>12.34564028019272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1.9841900345557371</c:v>
              </c:pt>
              <c:pt idx="1">
                <c:v>2.5163378392101672</c:v>
              </c:pt>
              <c:pt idx="2">
                <c:v>3.2005278737658882</c:v>
              </c:pt>
              <c:pt idx="3">
                <c:v>4.0367601382229124</c:v>
              </c:pt>
              <c:pt idx="4">
                <c:v>5.0250346325811366</c:v>
              </c:pt>
              <c:pt idx="5">
                <c:v>6.1653513568406666</c:v>
              </c:pt>
              <c:pt idx="6">
                <c:v>7.457710311001474</c:v>
              </c:pt>
              <c:pt idx="7">
                <c:v>8.9021114950635507</c:v>
              </c:pt>
              <c:pt idx="8">
                <c:v>10.49855490902698</c:v>
              </c:pt>
              <c:pt idx="9">
                <c:v>12.247040552891511</c:v>
              </c:pt>
              <c:pt idx="10">
                <c:v>14.147568426657321</c:v>
              </c:pt>
              <c:pt idx="11">
                <c:v>16.200138530324342</c:v>
              </c:pt>
              <c:pt idx="12">
                <c:v>18.404750863892989</c:v>
              </c:pt>
              <c:pt idx="13">
                <c:v>20.761405427362689</c:v>
              </c:pt>
              <c:pt idx="14">
                <c:v>23.27010222073347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1.6107678155568861</c:v>
              </c:pt>
              <c:pt idx="1">
                <c:v>1.8524761165455741</c:v>
              </c:pt>
              <c:pt idx="2">
                <c:v>2.1632439321024601</c:v>
              </c:pt>
              <c:pt idx="3">
                <c:v>2.54307126222758</c:v>
              </c:pt>
              <c:pt idx="4">
                <c:v>2.9919581069207939</c:v>
              </c:pt>
              <c:pt idx="5">
                <c:v>3.5099044661822938</c:v>
              </c:pt>
              <c:pt idx="6">
                <c:v>4.0969103400119646</c:v>
              </c:pt>
              <c:pt idx="7">
                <c:v>4.752975728409834</c:v>
              </c:pt>
              <c:pt idx="8">
                <c:v>5.4781006313759004</c:v>
              </c:pt>
              <c:pt idx="9">
                <c:v>6.2722850489101614</c:v>
              </c:pt>
              <c:pt idx="10">
                <c:v>7.1355289810126434</c:v>
              </c:pt>
              <c:pt idx="11">
                <c:v>8.0678324276832747</c:v>
              </c:pt>
              <c:pt idx="12">
                <c:v>9.0691953889221271</c:v>
              </c:pt>
              <c:pt idx="13">
                <c:v>10.139617864729169</c:v>
              </c:pt>
              <c:pt idx="14">
                <c:v>11.2790998551045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29600"/>
        <c:axId val="10633152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35616"/>
        <c:axId val="106333696"/>
      </c:scatterChart>
      <c:valAx>
        <c:axId val="10632960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331520"/>
        <c:crosses val="autoZero"/>
        <c:crossBetween val="midCat"/>
        <c:majorUnit val="100"/>
      </c:valAx>
      <c:valAx>
        <c:axId val="1063315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329600"/>
        <c:crosses val="autoZero"/>
        <c:crossBetween val="midCat"/>
        <c:majorUnit val="1"/>
      </c:valAx>
      <c:valAx>
        <c:axId val="106333696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06335616"/>
        <c:crosses val="max"/>
        <c:crossBetween val="midCat"/>
      </c:valAx>
      <c:valAx>
        <c:axId val="10633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3336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'400180G4'!$N$28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'400180G4'!$Q$27:$Q$28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1260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'400180G4'!$N$30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'400180G4'!$Q$29:$Q$30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'400180G4'!$R$29:$R$30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'400180G4'!$N$32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'400180G4'!$Q$31:$Q$32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'400180G4'!$R$31:$R$32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'400180G4'!$N$34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'400180G4'!$Q$33:$Q$34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'400180G4'!$R$33:$R$34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'400180G4'!$N$36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'400180G4'!$Q$35:$Q$36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'400180G4'!$R$35:$R$36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'400180G4'!$N$38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'400180G4'!$Q$37:$Q$38</c:f>
              <c:strCache>
                <c:ptCount val="2"/>
                <c:pt idx="0">
                  <c:v>N/A</c:v>
                </c:pt>
                <c:pt idx="1">
                  <c:v>623</c:v>
                </c:pt>
              </c:strCache>
            </c:strRef>
          </c:xVal>
          <c:yVal>
            <c:numRef>
              <c:f>'400180G4'!$R$37:$R$38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'400180G4'!$N$40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'400180G4'!$Q$39:$Q$40</c:f>
              <c:numCache>
                <c:formatCode>0</c:formatCode>
                <c:ptCount val="2"/>
                <c:pt idx="0">
                  <c:v>50.957533651828257</c:v>
                </c:pt>
                <c:pt idx="1">
                  <c:v>520</c:v>
                </c:pt>
              </c:numCache>
            </c:numRef>
          </c:xVal>
          <c:yVal>
            <c:numRef>
              <c:f>'400180G4'!$R$39:$R$40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844.27643942670909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9696"/>
        <c:axId val="109884160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'400180G4'!$P$36</c:f>
              <c:numCache>
                <c:formatCode>0.0</c:formatCode>
                <c:ptCount val="1"/>
                <c:pt idx="0">
                  <c:v>23.113432498138163</c:v>
                </c:pt>
              </c:numCache>
            </c:numRef>
          </c:xVal>
          <c:yVal>
            <c:numRef>
              <c:f>'400180G4'!$P$22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00544"/>
        <c:axId val="109886080"/>
      </c:scatterChart>
      <c:valAx>
        <c:axId val="109869696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884160"/>
        <c:crossesAt val="0"/>
        <c:crossBetween val="midCat"/>
        <c:majorUnit val="100"/>
        <c:minorUnit val="100"/>
      </c:valAx>
      <c:valAx>
        <c:axId val="109884160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09869696"/>
        <c:crosses val="autoZero"/>
        <c:crossBetween val="midCat"/>
        <c:majorUnit val="100"/>
        <c:minorUnit val="1"/>
      </c:valAx>
      <c:valAx>
        <c:axId val="109886080"/>
        <c:scaling>
          <c:orientation val="minMax"/>
          <c:max val="343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9900544"/>
        <c:crosses val="max"/>
        <c:crossBetween val="midCat"/>
        <c:majorUnit val="50"/>
      </c:valAx>
      <c:valAx>
        <c:axId val="1099005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098860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'400180G4'!$N$39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'400180G4'!$O$39:$O$40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'400180G4'!$P$39:$P$40</c:f>
              <c:numCache>
                <c:formatCode>0.0</c:formatCode>
                <c:ptCount val="2"/>
                <c:pt idx="0">
                  <c:v>0</c:v>
                </c:pt>
                <c:pt idx="1">
                  <c:v>26.06197842718835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'400180G4'!$N$37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'400180G4'!$O$37:$O$38</c:f>
              <c:numCache>
                <c:formatCode>0</c:formatCode>
                <c:ptCount val="2"/>
                <c:pt idx="0">
                  <c:v>0</c:v>
                </c:pt>
                <c:pt idx="1">
                  <c:v>622.85714285714289</c:v>
                </c:pt>
              </c:numCache>
            </c:numRef>
          </c:xVal>
          <c:yVal>
            <c:numRef>
              <c:f>'400180G4'!$P$37:$P$38</c:f>
              <c:numCache>
                <c:formatCode>0.0</c:formatCode>
                <c:ptCount val="2"/>
                <c:pt idx="0">
                  <c:v>0</c:v>
                </c:pt>
                <c:pt idx="1">
                  <c:v>26.956752182016821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'400180G4'!$N$35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'400180G4'!$O$35:$O$36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'400180G4'!$P$35:$P$36</c:f>
              <c:numCache>
                <c:formatCode>0.0</c:formatCode>
                <c:ptCount val="2"/>
                <c:pt idx="0">
                  <c:v>0</c:v>
                </c:pt>
                <c:pt idx="1">
                  <c:v>23.113432498138163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'400180G4'!$N$33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'400180G4'!$O$33:$O$34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'400180G4'!$P$33:$P$34</c:f>
              <c:numCache>
                <c:formatCode>0.0</c:formatCode>
                <c:ptCount val="2"/>
                <c:pt idx="0">
                  <c:v>0</c:v>
                </c:pt>
                <c:pt idx="1">
                  <c:v>18.325432498138166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'400180G4'!$N$31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'400180G4'!$O$31:$O$32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'400180G4'!$P$31:$P$32</c:f>
              <c:numCache>
                <c:formatCode>0.0</c:formatCode>
                <c:ptCount val="2"/>
                <c:pt idx="0">
                  <c:v>0</c:v>
                </c:pt>
                <c:pt idx="1">
                  <c:v>13.537432498138164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'400180G4'!$N$29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'400180G4'!$O$29:$O$30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'400180G4'!$P$29:$P$30</c:f>
              <c:numCache>
                <c:formatCode>0.0</c:formatCode>
                <c:ptCount val="2"/>
                <c:pt idx="0">
                  <c:v>0</c:v>
                </c:pt>
                <c:pt idx="1">
                  <c:v>8.7494324981381659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'400180G4'!$N$27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'400180G4'!$O$27:$O$28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'400180G4'!$P$27:$P$28</c:f>
              <c:numCache>
                <c:formatCode>0.0</c:formatCode>
                <c:ptCount val="2"/>
                <c:pt idx="0">
                  <c:v>0</c:v>
                </c:pt>
                <c:pt idx="1">
                  <c:v>6.3554324981381658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32224"/>
        <c:axId val="11013849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'400180G4'!$O$23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'400180G4'!$P$23</c:f>
              <c:numCache>
                <c:formatCode>0.00</c:formatCode>
                <c:ptCount val="1"/>
                <c:pt idx="0">
                  <c:v>4.023066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46688"/>
        <c:axId val="110140416"/>
      </c:scatterChart>
      <c:valAx>
        <c:axId val="110132224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138496"/>
        <c:crossesAt val="0"/>
        <c:crossBetween val="midCat"/>
        <c:majorUnit val="100"/>
        <c:minorUnit val="100"/>
      </c:valAx>
      <c:valAx>
        <c:axId val="11013849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132224"/>
        <c:crosses val="autoZero"/>
        <c:crossBetween val="midCat"/>
        <c:majorUnit val="5"/>
        <c:minorUnit val="1"/>
      </c:valAx>
      <c:valAx>
        <c:axId val="110140416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0146688"/>
        <c:crosses val="max"/>
        <c:crossBetween val="midCat"/>
        <c:majorUnit val="5"/>
      </c:valAx>
      <c:valAx>
        <c:axId val="11014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1404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69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'400180G5'!$O$1:$O$2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'400180G5'!$P$1:$P$2</c:f>
              <c:numCache>
                <c:formatCode>General</c:formatCode>
                <c:ptCount val="2"/>
                <c:pt idx="0">
                  <c:v>0</c:v>
                </c:pt>
                <c:pt idx="1">
                  <c:v>1260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'400180G5'!$O$3:$O$5</c:f>
              <c:numCache>
                <c:formatCode>General</c:formatCode>
                <c:ptCount val="3"/>
                <c:pt idx="0">
                  <c:v>73.1797558740505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'400180G5'!$P$3:$P$5</c:f>
              <c:numCache>
                <c:formatCode>General</c:formatCode>
                <c:ptCount val="3"/>
                <c:pt idx="0">
                  <c:v>0</c:v>
                </c:pt>
                <c:pt idx="1">
                  <c:v>804.27643942670909</c:v>
                </c:pt>
                <c:pt idx="2">
                  <c:v>1154.2977890936063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'400180G5'!$O$7:$O$8</c:f>
              <c:numCache>
                <c:formatCode>General</c:formatCode>
                <c:ptCount val="2"/>
                <c:pt idx="0">
                  <c:v>8.0981200257925821</c:v>
                </c:pt>
                <c:pt idx="1">
                  <c:v>700</c:v>
                </c:pt>
              </c:numCache>
            </c:numRef>
          </c:xVal>
          <c:yVal>
            <c:numRef>
              <c:f>'400180G5'!$P$7:$P$8</c:f>
              <c:numCache>
                <c:formatCode>General</c:formatCode>
                <c:ptCount val="2"/>
                <c:pt idx="0">
                  <c:v>0</c:v>
                </c:pt>
                <c:pt idx="1">
                  <c:v>1245.4233839535734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'400180G5'!$O$6</c:f>
              <c:numCache>
                <c:formatCode>0</c:formatCode>
                <c:ptCount val="1"/>
                <c:pt idx="0">
                  <c:v>45</c:v>
                </c:pt>
              </c:numCache>
            </c:numRef>
          </c:xVal>
          <c:yVal>
            <c:numRef>
              <c:f>'400180G5'!$P$6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36352"/>
        <c:axId val="110846720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'400180G5'!$O$9:$O$10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'400180G5'!$P$9:$P$10</c:f>
              <c:numCache>
                <c:formatCode>General</c:formatCode>
                <c:ptCount val="2"/>
                <c:pt idx="0">
                  <c:v>0</c:v>
                </c:pt>
                <c:pt idx="1">
                  <c:v>277.16113092299935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48640"/>
        <c:axId val="110854528"/>
      </c:scatterChart>
      <c:valAx>
        <c:axId val="110836352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846720"/>
        <c:crossesAt val="0"/>
        <c:crossBetween val="midCat"/>
        <c:majorUnit val="100"/>
      </c:valAx>
      <c:valAx>
        <c:axId val="110846720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1.7568121693121701E-2"/>
              <c:y val="0.36453266460906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836352"/>
        <c:crosses val="autoZero"/>
        <c:crossBetween val="midCat"/>
        <c:majorUnit val="100"/>
        <c:minorUnit val="10"/>
      </c:valAx>
      <c:valAx>
        <c:axId val="1108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854528"/>
        <c:crosses val="autoZero"/>
        <c:crossBetween val="midCat"/>
      </c:valAx>
      <c:valAx>
        <c:axId val="110854528"/>
        <c:scaling>
          <c:orientation val="minMax"/>
          <c:max val="343.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0848640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6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'400180G5'!$O$41</c:f>
              <c:numCache>
                <c:formatCode>0</c:formatCode>
                <c:ptCount val="1"/>
                <c:pt idx="0">
                  <c:v>45</c:v>
                </c:pt>
              </c:numCache>
            </c:numRef>
          </c:xVal>
          <c:yVal>
            <c:numRef>
              <c:f>'400180G5'!$P$42</c:f>
              <c:numCache>
                <c:formatCode>0.00</c:formatCode>
                <c:ptCount val="1"/>
                <c:pt idx="0">
                  <c:v>1.8175241399975244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3.9714466446873842</c:v>
              </c:pt>
              <c:pt idx="1">
                <c:v>6.0492384794442424</c:v>
              </c:pt>
              <c:pt idx="2">
                <c:v>8.7206851241316201</c:v>
              </c:pt>
              <c:pt idx="3">
                <c:v>11.98578657874976</c:v>
              </c:pt>
              <c:pt idx="4">
                <c:v>15.844542843297999</c:v>
              </c:pt>
              <c:pt idx="5">
                <c:v>20.29695391777696</c:v>
              </c:pt>
              <c:pt idx="6">
                <c:v>25.343019802186468</c:v>
              </c:pt>
              <c:pt idx="7">
                <c:v>30.98274049652618</c:v>
              </c:pt>
              <c:pt idx="8">
                <c:v>37.216116000797072</c:v>
              </c:pt>
              <c:pt idx="9">
                <c:v>44.043146314998168</c:v>
              </c:pt>
              <c:pt idx="10">
                <c:v>51.463831439129812</c:v>
              </c:pt>
              <c:pt idx="11">
                <c:v>59.478171373191962</c:v>
              </c:pt>
              <c:pt idx="12">
                <c:v>68.086166117183666</c:v>
              </c:pt>
              <c:pt idx="13">
                <c:v>77.287815671108575</c:v>
              </c:pt>
              <c:pt idx="14">
                <c:v>87.08312003496161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1.82487828956946</c:v>
              </c:pt>
              <c:pt idx="1">
                <c:v>2.2331169592346121</c:v>
              </c:pt>
              <c:pt idx="2">
                <c:v>2.7579952488041082</c:v>
              </c:pt>
              <c:pt idx="3">
                <c:v>3.3995131582778759</c:v>
              </c:pt>
              <c:pt idx="4">
                <c:v>4.1576706876559646</c:v>
              </c:pt>
              <c:pt idx="5">
                <c:v>5.0324678369384346</c:v>
              </c:pt>
              <c:pt idx="6">
                <c:v>6.0239046061251598</c:v>
              </c:pt>
              <c:pt idx="7">
                <c:v>7.1319809952163222</c:v>
              </c:pt>
              <c:pt idx="8">
                <c:v>8.3566970042117568</c:v>
              </c:pt>
              <c:pt idx="9">
                <c:v>9.698052633111498</c:v>
              </c:pt>
              <c:pt idx="10">
                <c:v>11.156047881915599</c:v>
              </c:pt>
              <c:pt idx="11">
                <c:v>12.730682750624</c:v>
              </c:pt>
              <c:pt idx="12">
                <c:v>14.421957239236731</c:v>
              </c:pt>
              <c:pt idx="13">
                <c:v>16.229871347753789</c:v>
              </c:pt>
              <c:pt idx="14">
                <c:v>18.154425076175169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2.9662574890770772</c:v>
              </c:pt>
              <c:pt idx="1">
                <c:v>4.262235536136977</c:v>
              </c:pt>
              <c:pt idx="2">
                <c:v>5.9284930252141859</c:v>
              </c:pt>
              <c:pt idx="3">
                <c:v>7.965029956308344</c:v>
              </c:pt>
              <c:pt idx="4">
                <c:v>10.371846329419769</c:v>
              </c:pt>
              <c:pt idx="5">
                <c:v>13.148942144548149</c:v>
              </c:pt>
              <c:pt idx="6">
                <c:v>16.29631740169377</c:v>
              </c:pt>
              <c:pt idx="7">
                <c:v>19.813972100856759</c:v>
              </c:pt>
              <c:pt idx="8">
                <c:v>23.70190624203638</c:v>
              </c:pt>
              <c:pt idx="9">
                <c:v>27.9601198252331</c:v>
              </c:pt>
              <c:pt idx="10">
                <c:v>32.588612850447497</c:v>
              </c:pt>
              <c:pt idx="11">
                <c:v>37.587385317678759</c:v>
              </c:pt>
              <c:pt idx="12">
                <c:v>42.95643722692715</c:v>
              </c:pt>
              <c:pt idx="13">
                <c:v>48.695768578192663</c:v>
              </c:pt>
              <c:pt idx="14">
                <c:v>54.805379371475318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1.7333777198707629</c:v>
              </c:pt>
              <c:pt idx="1">
                <c:v>2.0704492797702372</c:v>
              </c:pt>
              <c:pt idx="2">
                <c:v>2.503826999641007</c:v>
              </c:pt>
              <c:pt idx="3">
                <c:v>3.0335108794830492</c:v>
              </c:pt>
              <c:pt idx="4">
                <c:v>3.6595009192963741</c:v>
              </c:pt>
              <c:pt idx="5">
                <c:v>4.3817971190809804</c:v>
              </c:pt>
              <c:pt idx="6">
                <c:v>5.2003994788368724</c:v>
              </c:pt>
              <c:pt idx="7">
                <c:v>6.1153079985640284</c:v>
              </c:pt>
              <c:pt idx="8">
                <c:v>7.1265226782624289</c:v>
              </c:pt>
              <c:pt idx="9">
                <c:v>8.2340435179321982</c:v>
              </c:pt>
              <c:pt idx="10">
                <c:v>9.4378705175732058</c:v>
              </c:pt>
              <c:pt idx="11">
                <c:v>10.738003677185491</c:v>
              </c:pt>
              <c:pt idx="12">
                <c:v>12.134442996769071</c:v>
              </c:pt>
              <c:pt idx="13">
                <c:v>13.62718847632391</c:v>
              </c:pt>
              <c:pt idx="14">
                <c:v>15.21624011585004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2.3889279243218779</c:v>
              </c:pt>
              <c:pt idx="1">
                <c:v>3.23587186546112</c:v>
              </c:pt>
              <c:pt idx="2">
                <c:v>4.3247997897829968</c:v>
              </c:pt>
              <c:pt idx="3">
                <c:v>5.6557116972874661</c:v>
              </c:pt>
              <c:pt idx="4">
                <c:v>7.2286075879746834</c:v>
              </c:pt>
              <c:pt idx="5">
                <c:v>9.0434874618444709</c:v>
              </c:pt>
              <c:pt idx="6">
                <c:v>11.100351318896911</c:v>
              </c:pt>
              <c:pt idx="7">
                <c:v>13.399199159132021</c:v>
              </c:pt>
              <c:pt idx="8">
                <c:v>15.9400309825497</c:v>
              </c:pt>
              <c:pt idx="9">
                <c:v>18.722846789150029</c:v>
              </c:pt>
              <c:pt idx="10">
                <c:v>21.747646578932699</c:v>
              </c:pt>
              <c:pt idx="11">
                <c:v>25.014430351898731</c:v>
              </c:pt>
              <c:pt idx="12">
                <c:v>28.523198108047001</c:v>
              </c:pt>
              <c:pt idx="13">
                <c:v>32.273949847377963</c:v>
              </c:pt>
              <c:pt idx="14">
                <c:v>36.266685569891337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1.643981877237835</c:v>
              </c:pt>
              <c:pt idx="1">
                <c:v>1.9115233373117071</c:v>
              </c:pt>
              <c:pt idx="2">
                <c:v>2.2555052145495429</c:v>
              </c:pt>
              <c:pt idx="3">
                <c:v>2.6759275089513781</c:v>
              </c:pt>
              <c:pt idx="4">
                <c:v>3.1727902205171041</c:v>
              </c:pt>
              <c:pt idx="5">
                <c:v>3.7460933492468298</c:v>
              </c:pt>
              <c:pt idx="6">
                <c:v>4.3958368951405147</c:v>
              </c:pt>
              <c:pt idx="7">
                <c:v>5.1220208581981188</c:v>
              </c:pt>
              <c:pt idx="8">
                <c:v>5.9246452384197754</c:v>
              </c:pt>
              <c:pt idx="9">
                <c:v>6.8037100358053673</c:v>
              </c:pt>
              <c:pt idx="10">
                <c:v>7.7592152503549077</c:v>
              </c:pt>
              <c:pt idx="11">
                <c:v>8.7911608820684179</c:v>
              </c:pt>
              <c:pt idx="12">
                <c:v>9.89954693094605</c:v>
              </c:pt>
              <c:pt idx="13">
                <c:v>11.084373396987321</c:v>
              </c:pt>
              <c:pt idx="14">
                <c:v>12.34564028019272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1.9841900345557371</c:v>
              </c:pt>
              <c:pt idx="1">
                <c:v>2.5163378392101672</c:v>
              </c:pt>
              <c:pt idx="2">
                <c:v>3.2005278737658882</c:v>
              </c:pt>
              <c:pt idx="3">
                <c:v>4.0367601382229124</c:v>
              </c:pt>
              <c:pt idx="4">
                <c:v>5.0250346325811366</c:v>
              </c:pt>
              <c:pt idx="5">
                <c:v>6.1653513568406666</c:v>
              </c:pt>
              <c:pt idx="6">
                <c:v>7.457710311001474</c:v>
              </c:pt>
              <c:pt idx="7">
                <c:v>8.9021114950635507</c:v>
              </c:pt>
              <c:pt idx="8">
                <c:v>10.49855490902698</c:v>
              </c:pt>
              <c:pt idx="9">
                <c:v>12.247040552891511</c:v>
              </c:pt>
              <c:pt idx="10">
                <c:v>14.147568426657321</c:v>
              </c:pt>
              <c:pt idx="11">
                <c:v>16.200138530324342</c:v>
              </c:pt>
              <c:pt idx="12">
                <c:v>18.404750863892989</c:v>
              </c:pt>
              <c:pt idx="13">
                <c:v>20.761405427362689</c:v>
              </c:pt>
              <c:pt idx="14">
                <c:v>23.27010222073347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1.6107678155568861</c:v>
              </c:pt>
              <c:pt idx="1">
                <c:v>1.8524761165455741</c:v>
              </c:pt>
              <c:pt idx="2">
                <c:v>2.1632439321024601</c:v>
              </c:pt>
              <c:pt idx="3">
                <c:v>2.54307126222758</c:v>
              </c:pt>
              <c:pt idx="4">
                <c:v>2.9919581069207939</c:v>
              </c:pt>
              <c:pt idx="5">
                <c:v>3.5099044661822938</c:v>
              </c:pt>
              <c:pt idx="6">
                <c:v>4.0969103400119646</c:v>
              </c:pt>
              <c:pt idx="7">
                <c:v>4.752975728409834</c:v>
              </c:pt>
              <c:pt idx="8">
                <c:v>5.4781006313759004</c:v>
              </c:pt>
              <c:pt idx="9">
                <c:v>6.2722850489101614</c:v>
              </c:pt>
              <c:pt idx="10">
                <c:v>7.1355289810126434</c:v>
              </c:pt>
              <c:pt idx="11">
                <c:v>8.0678324276832747</c:v>
              </c:pt>
              <c:pt idx="12">
                <c:v>9.0691953889221271</c:v>
              </c:pt>
              <c:pt idx="13">
                <c:v>10.139617864729169</c:v>
              </c:pt>
              <c:pt idx="14">
                <c:v>11.2790998551045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15968"/>
        <c:axId val="110917888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21984"/>
        <c:axId val="110920064"/>
      </c:scatterChart>
      <c:valAx>
        <c:axId val="110915968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0917888"/>
        <c:crosses val="autoZero"/>
        <c:crossBetween val="midCat"/>
        <c:majorUnit val="100"/>
      </c:valAx>
      <c:valAx>
        <c:axId val="11091788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0915968"/>
        <c:crosses val="autoZero"/>
        <c:crossBetween val="midCat"/>
        <c:majorUnit val="1"/>
      </c:valAx>
      <c:valAx>
        <c:axId val="110920064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7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0921984"/>
        <c:crosses val="max"/>
        <c:crossBetween val="midCat"/>
      </c:valAx>
      <c:valAx>
        <c:axId val="110921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09200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'400180G6'!$N$28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'400180G6'!$Q$27:$Q$28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1260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'400180G6'!$N$30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'400180G6'!$Q$29:$Q$30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'400180G6'!$R$29:$R$30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'400180G6'!$N$32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'400180G6'!$Q$31:$Q$32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'400180G6'!$R$31:$R$32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'400180G6'!$N$34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'400180G6'!$Q$33:$Q$34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'400180G6'!$R$33:$R$34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'400180G6'!$N$36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'400180G6'!$Q$35:$Q$36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'400180G6'!$R$35:$R$36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'400180G6'!$N$38</c:f>
              <c:strCache>
                <c:ptCount val="1"/>
                <c:pt idx="0">
                  <c:v> </c:v>
                </c:pt>
              </c:strCache>
            </c:strRef>
          </c:tx>
          <c:marker>
            <c:symbol val="none"/>
          </c:marker>
          <c:xVal>
            <c:strRef>
              <c:f>'400180G6'!$Q$37:$Q$38</c:f>
              <c:strCache>
                <c:ptCount val="2"/>
                <c:pt idx="0">
                  <c:v>N/A</c:v>
                </c:pt>
                <c:pt idx="1">
                  <c:v>623</c:v>
                </c:pt>
              </c:strCache>
            </c:strRef>
          </c:xVal>
          <c:yVal>
            <c:numRef>
              <c:f>'400180G6'!$R$37:$R$38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7"/>
          <c:order val="6"/>
          <c:tx>
            <c:strRef>
              <c:f>'400180G6'!$N$40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'400180G6'!$Q$39:$Q$40</c:f>
              <c:numCache>
                <c:formatCode>0</c:formatCode>
                <c:ptCount val="2"/>
                <c:pt idx="0">
                  <c:v>73.179755874050485</c:v>
                </c:pt>
                <c:pt idx="1">
                  <c:v>520</c:v>
                </c:pt>
              </c:numCache>
            </c:numRef>
          </c:xVal>
          <c:yVal>
            <c:numRef>
              <c:f>'400180G6'!$R$39:$R$40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804.27643942670909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38688"/>
        <c:axId val="111153152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'400180G6'!$P$36</c:f>
              <c:numCache>
                <c:formatCode>0.0</c:formatCode>
                <c:ptCount val="1"/>
                <c:pt idx="0">
                  <c:v>23.113432498138163</c:v>
                </c:pt>
              </c:numCache>
            </c:numRef>
          </c:xVal>
          <c:yVal>
            <c:numRef>
              <c:f>'400180G6'!$P$22</c:f>
              <c:numCache>
                <c:formatCode>0.00</c:formatCode>
                <c:ptCount val="1"/>
                <c:pt idx="0">
                  <c:v>145.29462050630156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65440"/>
        <c:axId val="111155072"/>
      </c:scatterChart>
      <c:valAx>
        <c:axId val="111138688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153152"/>
        <c:crossesAt val="0"/>
        <c:crossBetween val="midCat"/>
        <c:majorUnit val="100"/>
        <c:minorUnit val="100"/>
      </c:valAx>
      <c:valAx>
        <c:axId val="111153152"/>
        <c:scaling>
          <c:orientation val="minMax"/>
          <c:max val="1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9.4084377790517194E-3"/>
              <c:y val="0.3961006698980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138688"/>
        <c:crosses val="autoZero"/>
        <c:crossBetween val="midCat"/>
        <c:majorUnit val="100"/>
        <c:minorUnit val="1"/>
      </c:valAx>
      <c:valAx>
        <c:axId val="111155072"/>
        <c:scaling>
          <c:orientation val="minMax"/>
          <c:max val="343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165440"/>
        <c:crosses val="max"/>
        <c:crossBetween val="midCat"/>
        <c:majorUnit val="50"/>
      </c:valAx>
      <c:valAx>
        <c:axId val="11116544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11550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1640211640197E-2"/>
          <c:y val="8.0354166666668295E-2"/>
          <c:w val="0.68845535714285699"/>
          <c:h val="0.79036144578313205"/>
        </c:manualLayout>
      </c:layout>
      <c:scatterChart>
        <c:scatterStyle val="smoothMarker"/>
        <c:varyColors val="0"/>
        <c:ser>
          <c:idx val="7"/>
          <c:order val="0"/>
          <c:tx>
            <c:strRef>
              <c:f>'400180G6'!$N$39</c:f>
              <c:strCache>
                <c:ptCount val="1"/>
                <c:pt idx="0">
                  <c:v>12 / 175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'400180G6'!$O$39:$O$40</c:f>
              <c:numCache>
                <c:formatCode>0</c:formatCode>
                <c:ptCount val="2"/>
                <c:pt idx="0">
                  <c:v>0</c:v>
                </c:pt>
                <c:pt idx="1">
                  <c:v>520</c:v>
                </c:pt>
              </c:numCache>
            </c:numRef>
          </c:xVal>
          <c:yVal>
            <c:numRef>
              <c:f>'400180G6'!$P$39:$P$40</c:f>
              <c:numCache>
                <c:formatCode>0.0</c:formatCode>
                <c:ptCount val="2"/>
                <c:pt idx="0">
                  <c:v>0</c:v>
                </c:pt>
                <c:pt idx="1">
                  <c:v>26.06197842718835</c:v>
                </c:pt>
              </c:numCache>
            </c:numRef>
          </c:yVal>
          <c:smooth val="1"/>
        </c:ser>
        <c:ser>
          <c:idx val="5"/>
          <c:order val="1"/>
          <c:tx>
            <c:strRef>
              <c:f>'400180G6'!$N$37</c:f>
              <c:strCache>
                <c:ptCount val="1"/>
                <c:pt idx="0">
                  <c:v>10 / 150</c:v>
                </c:pt>
              </c:strCache>
            </c:strRef>
          </c:tx>
          <c:marker>
            <c:symbol val="none"/>
          </c:marker>
          <c:xVal>
            <c:numRef>
              <c:f>'400180G6'!$O$37:$O$38</c:f>
              <c:numCache>
                <c:formatCode>0</c:formatCode>
                <c:ptCount val="2"/>
                <c:pt idx="0">
                  <c:v>0</c:v>
                </c:pt>
                <c:pt idx="1">
                  <c:v>622.85714285714289</c:v>
                </c:pt>
              </c:numCache>
            </c:numRef>
          </c:xVal>
          <c:yVal>
            <c:numRef>
              <c:f>'400180G6'!$P$37:$P$38</c:f>
              <c:numCache>
                <c:formatCode>0.0</c:formatCode>
                <c:ptCount val="2"/>
                <c:pt idx="0">
                  <c:v>0</c:v>
                </c:pt>
                <c:pt idx="1">
                  <c:v>26.956752182016821</c:v>
                </c:pt>
              </c:numCache>
            </c:numRef>
          </c:yVal>
          <c:smooth val="1"/>
        </c:ser>
        <c:ser>
          <c:idx val="6"/>
          <c:order val="2"/>
          <c:tx>
            <c:strRef>
              <c:f>'400180G6'!$N$35</c:f>
              <c:strCache>
                <c:ptCount val="1"/>
                <c:pt idx="0">
                  <c:v>7 / 105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'400180G6'!$O$35:$O$36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'400180G6'!$P$35:$P$36</c:f>
              <c:numCache>
                <c:formatCode>0.0</c:formatCode>
                <c:ptCount val="2"/>
                <c:pt idx="0">
                  <c:v>0</c:v>
                </c:pt>
                <c:pt idx="1">
                  <c:v>23.113432498138163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'400180G6'!$N$33</c:f>
              <c:strCache>
                <c:ptCount val="1"/>
                <c:pt idx="0">
                  <c:v>5 / 75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'400180G6'!$O$33:$O$34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'400180G6'!$P$33:$P$34</c:f>
              <c:numCache>
                <c:formatCode>0.0</c:formatCode>
                <c:ptCount val="2"/>
                <c:pt idx="0">
                  <c:v>0</c:v>
                </c:pt>
                <c:pt idx="1">
                  <c:v>18.325432498138166</c:v>
                </c:pt>
              </c:numCache>
            </c:numRef>
          </c:yVal>
          <c:smooth val="1"/>
        </c:ser>
        <c:ser>
          <c:idx val="2"/>
          <c:order val="4"/>
          <c:tx>
            <c:strRef>
              <c:f>'400180G6'!$N$31</c:f>
              <c:strCache>
                <c:ptCount val="1"/>
                <c:pt idx="0">
                  <c:v>3 / 45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'400180G6'!$O$31:$O$32</c:f>
              <c:numCache>
                <c:formatCode>0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'400180G6'!$P$31:$P$32</c:f>
              <c:numCache>
                <c:formatCode>0.0</c:formatCode>
                <c:ptCount val="2"/>
                <c:pt idx="0">
                  <c:v>0</c:v>
                </c:pt>
                <c:pt idx="1">
                  <c:v>13.537432498138164</c:v>
                </c:pt>
              </c:numCache>
            </c:numRef>
          </c:yVal>
          <c:smooth val="1"/>
        </c:ser>
        <c:ser>
          <c:idx val="1"/>
          <c:order val="5"/>
          <c:tx>
            <c:strRef>
              <c:f>'400180G6'!$N$29</c:f>
              <c:strCache>
                <c:ptCount val="1"/>
                <c:pt idx="0">
                  <c:v>1 / 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'400180G6'!$O$29:$O$30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'400180G6'!$P$29:$P$30</c:f>
              <c:numCache>
                <c:formatCode>0.0</c:formatCode>
                <c:ptCount val="2"/>
                <c:pt idx="0">
                  <c:v>0</c:v>
                </c:pt>
                <c:pt idx="1">
                  <c:v>8.7494324981381659</c:v>
                </c:pt>
              </c:numCache>
            </c:numRef>
          </c:yVal>
          <c:smooth val="1"/>
        </c:ser>
        <c:ser>
          <c:idx val="0"/>
          <c:order val="6"/>
          <c:tx>
            <c:strRef>
              <c:f>'400180G6'!$N$27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'400180G6'!$O$27:$O$28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'400180G6'!$P$27:$P$28</c:f>
              <c:numCache>
                <c:formatCode>0.0</c:formatCode>
                <c:ptCount val="2"/>
                <c:pt idx="0">
                  <c:v>0</c:v>
                </c:pt>
                <c:pt idx="1">
                  <c:v>6.3554324981381658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08704"/>
        <c:axId val="111214976"/>
      </c:scatterChart>
      <c:scatterChart>
        <c:scatterStyle val="smoothMarker"/>
        <c:varyColors val="0"/>
        <c:ser>
          <c:idx val="8"/>
          <c:order val="7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'400180G6'!$O$23</c:f>
              <c:numCache>
                <c:formatCode>General</c:formatCode>
                <c:ptCount val="1"/>
                <c:pt idx="0">
                  <c:v>1400</c:v>
                </c:pt>
              </c:numCache>
            </c:numRef>
          </c:xVal>
          <c:yVal>
            <c:numRef>
              <c:f>'400180G6'!$P$23</c:f>
              <c:numCache>
                <c:formatCode>0.00</c:formatCode>
                <c:ptCount val="1"/>
                <c:pt idx="0">
                  <c:v>16.092264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27264"/>
        <c:axId val="111216896"/>
      </c:scatterChart>
      <c:valAx>
        <c:axId val="111208704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213308445744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214976"/>
        <c:crossesAt val="0"/>
        <c:crossBetween val="midCat"/>
        <c:majorUnit val="100"/>
        <c:minorUnit val="100"/>
      </c:valAx>
      <c:valAx>
        <c:axId val="111214976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Shaft Input - kw</a:t>
                </a:r>
              </a:p>
            </c:rich>
          </c:tx>
          <c:layout>
            <c:manualLayout>
              <c:xMode val="edge"/>
              <c:yMode val="edge"/>
              <c:x val="1.10701522309711E-2"/>
              <c:y val="0.36626527744637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208704"/>
        <c:crosses val="autoZero"/>
        <c:crossBetween val="midCat"/>
        <c:majorUnit val="5"/>
        <c:minorUnit val="1"/>
      </c:valAx>
      <c:valAx>
        <c:axId val="111216896"/>
        <c:scaling>
          <c:orientation val="minMax"/>
          <c:max val="46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Shaft Input - hp</a:t>
                </a:r>
              </a:p>
            </c:rich>
          </c:tx>
          <c:layout>
            <c:manualLayout>
              <c:xMode val="edge"/>
              <c:yMode val="edge"/>
              <c:x val="0.81867311507936502"/>
              <c:y val="0.367733281893004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227264"/>
        <c:crosses val="max"/>
        <c:crossBetween val="midCat"/>
        <c:majorUnit val="5"/>
      </c:valAx>
      <c:valAx>
        <c:axId val="11122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2168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342576058201102"/>
          <c:y val="0.30801260288067001"/>
          <c:w val="0.143895667989418"/>
          <c:h val="0.4387703189300489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4346854120805E-2"/>
          <c:y val="6.6502543034346898E-2"/>
          <c:w val="0.76538595924720698"/>
          <c:h val="0.7610846591708619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'400250G1'!$O$1:$O$2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'400250G1'!$P$1:$P$2</c:f>
              <c:numCache>
                <c:formatCode>General</c:formatCode>
                <c:ptCount val="2"/>
                <c:pt idx="0">
                  <c:v>0</c:v>
                </c:pt>
                <c:pt idx="1">
                  <c:v>1750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xVal>
            <c:numRef>
              <c:f>'400250G1'!$O$3:$O$5</c:f>
              <c:numCache>
                <c:formatCode>General</c:formatCode>
                <c:ptCount val="3"/>
                <c:pt idx="0">
                  <c:v>10.37904124781727</c:v>
                </c:pt>
                <c:pt idx="1">
                  <c:v>520</c:v>
                </c:pt>
                <c:pt idx="2">
                  <c:v>700</c:v>
                </c:pt>
              </c:numCache>
            </c:numRef>
          </c:xVal>
          <c:yVal>
            <c:numRef>
              <c:f>'400250G1'!$P$3:$P$5</c:f>
              <c:numCache>
                <c:formatCode>General</c:formatCode>
                <c:ptCount val="3"/>
                <c:pt idx="0">
                  <c:v>0</c:v>
                </c:pt>
                <c:pt idx="1">
                  <c:v>1274.0523968804569</c:v>
                </c:pt>
                <c:pt idx="2">
                  <c:v>1727.569183085154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'400250G1'!$O$7:$O$8</c:f>
              <c:numCache>
                <c:formatCode>General</c:formatCode>
                <c:ptCount val="2"/>
                <c:pt idx="0">
                  <c:v>7.621756801042352</c:v>
                </c:pt>
                <c:pt idx="1">
                  <c:v>700</c:v>
                </c:pt>
              </c:numCache>
            </c:numRef>
          </c:xVal>
          <c:yVal>
            <c:numRef>
              <c:f>'400250G1'!$P$7:$P$8</c:f>
              <c:numCache>
                <c:formatCode>General</c:formatCode>
                <c:ptCount val="2"/>
                <c:pt idx="0">
                  <c:v>0</c:v>
                </c:pt>
                <c:pt idx="1">
                  <c:v>1730.9456079973941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'400250G1'!$O$6</c:f>
              <c:numCache>
                <c:formatCode>0</c:formatCode>
                <c:ptCount val="1"/>
                <c:pt idx="0">
                  <c:v>34</c:v>
                </c:pt>
              </c:numCache>
            </c:numRef>
          </c:xVal>
          <c:yVal>
            <c:numRef>
              <c:f>'400250G1'!$P$6</c:f>
              <c:numCache>
                <c:formatCode>General</c:formatCode>
                <c:ptCount val="1"/>
                <c:pt idx="0">
                  <c:v>65.918334000000002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90240"/>
        <c:axId val="111304704"/>
      </c:scatterChart>
      <c:scatterChart>
        <c:scatterStyle val="lineMarker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xVal>
            <c:numRef>
              <c:f>'400250G1'!$O$9:$O$10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'400250G1'!$P$9:$P$10</c:f>
              <c:numCache>
                <c:formatCode>General</c:formatCode>
                <c:ptCount val="2"/>
                <c:pt idx="0">
                  <c:v>0</c:v>
                </c:pt>
                <c:pt idx="1">
                  <c:v>384.94601517083248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06624"/>
        <c:axId val="111308160"/>
      </c:scatterChart>
      <c:valAx>
        <c:axId val="11129024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RPM</a:t>
                </a:r>
              </a:p>
            </c:rich>
          </c:tx>
          <c:layout>
            <c:manualLayout>
              <c:xMode val="edge"/>
              <c:yMode val="edge"/>
              <c:x val="0.45616917203531399"/>
              <c:y val="0.90394192105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304704"/>
        <c:crossesAt val="0"/>
        <c:crossBetween val="midCat"/>
        <c:majorUnit val="100"/>
      </c:valAx>
      <c:valAx>
        <c:axId val="11130470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l/m</a:t>
                </a:r>
              </a:p>
            </c:rich>
          </c:tx>
          <c:layout>
            <c:manualLayout>
              <c:xMode val="edge"/>
              <c:yMode val="edge"/>
              <c:x val="7.0687830687830699E-3"/>
              <c:y val="0.4102631172839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290240"/>
        <c:crosses val="autoZero"/>
        <c:crossBetween val="midCat"/>
        <c:majorUnit val="200"/>
        <c:minorUnit val="10"/>
      </c:valAx>
      <c:valAx>
        <c:axId val="11130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308160"/>
        <c:crosses val="autoZero"/>
        <c:crossBetween val="midCat"/>
      </c:valAx>
      <c:valAx>
        <c:axId val="111308160"/>
        <c:scaling>
          <c:orientation val="minMax"/>
          <c:max val="475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Flow - </a:t>
                </a:r>
                <a:r>
                  <a:rPr lang="en-GB" baseline="0"/>
                  <a:t>usgpm</a:t>
                </a:r>
              </a:p>
            </c:rich>
          </c:tx>
          <c:layout>
            <c:manualLayout>
              <c:xMode val="edge"/>
              <c:yMode val="edge"/>
              <c:x val="0.92004901595502497"/>
              <c:y val="0.36289024216800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306624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1996079604004E-2"/>
          <c:y val="0.105253873722638"/>
          <c:w val="0.77164191501381596"/>
          <c:h val="0.73820909442159399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diamond"/>
            <c:size val="8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'400250G1'!$O$41</c:f>
              <c:numCache>
                <c:formatCode>0</c:formatCode>
                <c:ptCount val="1"/>
                <c:pt idx="0">
                  <c:v>34</c:v>
                </c:pt>
              </c:numCache>
            </c:numRef>
          </c:xVal>
          <c:yVal>
            <c:numRef>
              <c:f>'400250G1'!$P$42</c:f>
              <c:numCache>
                <c:formatCode>0.00</c:formatCode>
                <c:ptCount val="1"/>
                <c:pt idx="0">
                  <c:v>1.6476043621771774</c:v>
                </c:pt>
              </c:numCache>
            </c:numRef>
          </c:yVal>
          <c:smooth val="1"/>
        </c:ser>
        <c:ser>
          <c:idx val="8"/>
          <c:order val="1"/>
          <c:tx>
            <c:v>20000cP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2.796451576606223</c:v>
              </c:pt>
              <c:pt idx="1">
                <c:v>3.9603583584110642</c:v>
              </c:pt>
              <c:pt idx="2">
                <c:v>5.4568099350172874</c:v>
              </c:pt>
              <c:pt idx="3">
                <c:v>7.2858063064248917</c:v>
              </c:pt>
              <c:pt idx="4">
                <c:v>9.4473474726338171</c:v>
              </c:pt>
              <c:pt idx="5">
                <c:v>11.94143343364426</c:v>
              </c:pt>
              <c:pt idx="6">
                <c:v>14.768064189456</c:v>
              </c:pt>
              <c:pt idx="7">
                <c:v>17.927239740068959</c:v>
              </c:pt>
              <c:pt idx="8">
                <c:v>21.418960085483661</c:v>
              </c:pt>
              <c:pt idx="9">
                <c:v>25.243225225699572</c:v>
              </c:pt>
              <c:pt idx="10">
                <c:v>29.40003516071685</c:v>
              </c:pt>
              <c:pt idx="11">
                <c:v>33.889389890535497</c:v>
              </c:pt>
              <c:pt idx="12">
                <c:v>38.71128941515525</c:v>
              </c:pt>
              <c:pt idx="13">
                <c:v>43.865733734577461</c:v>
              </c:pt>
              <c:pt idx="14">
                <c:v>49.352722848800013</c:v>
              </c:pt>
            </c:numLit>
          </c:yVal>
          <c:smooth val="1"/>
        </c:ser>
        <c:ser>
          <c:idx val="4"/>
          <c:order val="2"/>
          <c:tx>
            <c:v>1000cP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1.6513605606317681</c:v>
              </c:pt>
              <c:pt idx="1">
                <c:v>1.924640996678685</c:v>
              </c:pt>
              <c:pt idx="2">
                <c:v>2.276001557310452</c:v>
              </c:pt>
              <c:pt idx="3">
                <c:v>2.7054422425270408</c:v>
              </c:pt>
              <c:pt idx="4">
                <c:v>3.212963052328448</c:v>
              </c:pt>
              <c:pt idx="5">
                <c:v>3.7985639867147079</c:v>
              </c:pt>
              <c:pt idx="6">
                <c:v>4.4622450456858029</c:v>
              </c:pt>
              <c:pt idx="7">
                <c:v>5.2040062292417266</c:v>
              </c:pt>
              <c:pt idx="8">
                <c:v>6.0238475373824736</c:v>
              </c:pt>
              <c:pt idx="9">
                <c:v>6.9217689701080944</c:v>
              </c:pt>
              <c:pt idx="10">
                <c:v>7.8977705274184666</c:v>
              </c:pt>
              <c:pt idx="11">
                <c:v>8.9518522093138024</c:v>
              </c:pt>
              <c:pt idx="12">
                <c:v>10.084014015793899</c:v>
              </c:pt>
              <c:pt idx="13">
                <c:v>11.294255946858749</c:v>
              </c:pt>
              <c:pt idx="14">
                <c:v>12.58257800250861</c:v>
              </c:pt>
            </c:numLit>
          </c:yVal>
          <c:smooth val="1"/>
        </c:ser>
        <c:ser>
          <c:idx val="7"/>
          <c:order val="3"/>
          <c:tx>
            <c:v>10000cP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2.2602314889952502</c:v>
              </c:pt>
              <c:pt idx="1">
                <c:v>3.0070782026581862</c:v>
              </c:pt>
              <c:pt idx="2">
                <c:v>3.9673096916534161</c:v>
              </c:pt>
              <c:pt idx="3">
                <c:v>5.1409259559808964</c:v>
              </c:pt>
              <c:pt idx="4">
                <c:v>6.5279269956406942</c:v>
              </c:pt>
              <c:pt idx="5">
                <c:v>8.1283128106327371</c:v>
              </c:pt>
              <c:pt idx="6">
                <c:v>9.9420834009570669</c:v>
              </c:pt>
              <c:pt idx="7">
                <c:v>11.96923876661366</c:v>
              </c:pt>
              <c:pt idx="8">
                <c:v>14.209778907602519</c:v>
              </c:pt>
              <c:pt idx="9">
                <c:v>16.66370382392348</c:v>
              </c:pt>
              <c:pt idx="10">
                <c:v>19.331013515577091</c:v>
              </c:pt>
              <c:pt idx="11">
                <c:v>22.211707982562729</c:v>
              </c:pt>
              <c:pt idx="12">
                <c:v>25.305787224880739</c:v>
              </c:pt>
              <c:pt idx="13">
                <c:v>28.613251242530971</c:v>
              </c:pt>
              <c:pt idx="14">
                <c:v>32.134100035513477</c:v>
              </c:pt>
            </c:numLit>
          </c:yVal>
          <c:smooth val="1"/>
        </c:ser>
        <c:ser>
          <c:idx val="3"/>
          <c:order val="4"/>
          <c:tx>
            <c:v>500cP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1.6025494058093519</c:v>
              </c:pt>
              <c:pt idx="1">
                <c:v>1.837865610327736</c:v>
              </c:pt>
              <c:pt idx="2">
                <c:v>2.1404150161370881</c:v>
              </c:pt>
              <c:pt idx="3">
                <c:v>2.5101976232374068</c:v>
              </c:pt>
              <c:pt idx="4">
                <c:v>2.9472134316286871</c:v>
              </c:pt>
              <c:pt idx="5">
                <c:v>3.4514624413109432</c:v>
              </c:pt>
              <c:pt idx="6">
                <c:v>4.0229446522841643</c:v>
              </c:pt>
              <c:pt idx="7">
                <c:v>4.661660064548351</c:v>
              </c:pt>
              <c:pt idx="8">
                <c:v>5.3676086781034646</c:v>
              </c:pt>
              <c:pt idx="9">
                <c:v>6.1407904929496704</c:v>
              </c:pt>
              <c:pt idx="10">
                <c:v>6.9812055090867116</c:v>
              </c:pt>
              <c:pt idx="11">
                <c:v>7.8888537265147702</c:v>
              </c:pt>
              <c:pt idx="12">
                <c:v>8.8637351452337896</c:v>
              </c:pt>
              <c:pt idx="13">
                <c:v>9.9058497652437776</c:v>
              </c:pt>
              <c:pt idx="14">
                <c:v>11.01519758654476</c:v>
              </c:pt>
            </c:numLit>
          </c:yVal>
          <c:smooth val="1"/>
        </c:ser>
        <c:ser>
          <c:idx val="6"/>
          <c:order val="5"/>
          <c:tx>
            <c:v>5000cP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1.9522539227176829</c:v>
              </c:pt>
              <c:pt idx="1">
                <c:v>2.4595625292758361</c:v>
              </c:pt>
              <c:pt idx="2">
                <c:v>3.1118164519935321</c:v>
              </c:pt>
              <c:pt idx="3">
                <c:v>3.9090156908706781</c:v>
              </c:pt>
              <c:pt idx="4">
                <c:v>4.8511602459073231</c:v>
              </c:pt>
              <c:pt idx="5">
                <c:v>5.9382501171034434</c:v>
              </c:pt>
              <c:pt idx="6">
                <c:v>7.1702853044590444</c:v>
              </c:pt>
              <c:pt idx="7">
                <c:v>8.5472658079740871</c:v>
              </c:pt>
              <c:pt idx="8">
                <c:v>10.06919162764871</c:v>
              </c:pt>
              <c:pt idx="9">
                <c:v>11.736062763482741</c:v>
              </c:pt>
              <c:pt idx="10">
                <c:v>13.54787921547628</c:v>
              </c:pt>
              <c:pt idx="11">
                <c:v>15.504640983629301</c:v>
              </c:pt>
              <c:pt idx="12">
                <c:v>17.606348067941791</c:v>
              </c:pt>
              <c:pt idx="13">
                <c:v>19.853000468413839</c:v>
              </c:pt>
              <c:pt idx="14">
                <c:v>22.244598185045231</c:v>
              </c:pt>
            </c:numLit>
          </c:yVal>
          <c:smooth val="1"/>
        </c:ser>
        <c:ser>
          <c:idx val="2"/>
          <c:order val="6"/>
          <c:tx>
            <c:v>100cP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1.5548610216866821</c:v>
              </c:pt>
              <c:pt idx="1">
                <c:v>1.753086260776322</c:v>
              </c:pt>
              <c:pt idx="2">
                <c:v>2.0079472824630038</c:v>
              </c:pt>
              <c:pt idx="3">
                <c:v>2.3194440867467172</c:v>
              </c:pt>
              <c:pt idx="4">
                <c:v>2.6875766736275062</c:v>
              </c:pt>
              <c:pt idx="5">
                <c:v>3.1123450431052659</c:v>
              </c:pt>
              <c:pt idx="6">
                <c:v>3.5937491951801182</c:v>
              </c:pt>
              <c:pt idx="7">
                <c:v>4.1317891298520131</c:v>
              </c:pt>
              <c:pt idx="8">
                <c:v>4.7264648471209236</c:v>
              </c:pt>
              <c:pt idx="9">
                <c:v>5.3777763469868756</c:v>
              </c:pt>
              <c:pt idx="10">
                <c:v>6.0857236294499018</c:v>
              </c:pt>
              <c:pt idx="11">
                <c:v>6.8503066945099453</c:v>
              </c:pt>
              <c:pt idx="12">
                <c:v>7.6715255421670276</c:v>
              </c:pt>
              <c:pt idx="13">
                <c:v>8.5493801724211487</c:v>
              </c:pt>
              <c:pt idx="14">
                <c:v>9.4838705852723209</c:v>
              </c:pt>
            </c:numLit>
          </c:yVal>
          <c:smooth val="1"/>
        </c:ser>
        <c:ser>
          <c:idx val="5"/>
          <c:order val="7"/>
          <c:tx>
            <c:v>2000cP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1.736345717283313</c:v>
              </c:pt>
              <c:pt idx="1">
                <c:v>2.0757257196147778</c:v>
              </c:pt>
              <c:pt idx="2">
                <c:v>2.5120714368980641</c:v>
              </c:pt>
              <c:pt idx="3">
                <c:v>3.0453828691332512</c:v>
              </c:pt>
              <c:pt idx="4">
                <c:v>3.6756600163202582</c:v>
              </c:pt>
              <c:pt idx="5">
                <c:v>4.4029028784591064</c:v>
              </c:pt>
              <c:pt idx="6">
                <c:v>5.2271114555498066</c:v>
              </c:pt>
              <c:pt idx="7">
                <c:v>6.1482857475923618</c:v>
              </c:pt>
              <c:pt idx="8">
                <c:v>7.1664257545867436</c:v>
              </c:pt>
              <c:pt idx="9">
                <c:v>8.2815314765330008</c:v>
              </c:pt>
              <c:pt idx="10">
                <c:v>9.4936029134311024</c:v>
              </c:pt>
              <c:pt idx="11">
                <c:v>10.802640065281119</c:v>
              </c:pt>
              <c:pt idx="12">
                <c:v>12.208642932082819</c:v>
              </c:pt>
              <c:pt idx="13">
                <c:v>13.71161151383645</c:v>
              </c:pt>
              <c:pt idx="14">
                <c:v>15.311545810542031</c:v>
              </c:pt>
            </c:numLit>
          </c:yVal>
          <c:smooth val="1"/>
        </c:ser>
        <c:ser>
          <c:idx val="0"/>
          <c:order val="8"/>
          <c:tx>
            <c:v>1cP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Lit>
              <c:formatCode>General</c:formatCode>
              <c:ptCount val="15"/>
              <c:pt idx="0">
                <c:v>0</c:v>
              </c:pt>
              <c:pt idx="1">
                <c:v>100</c:v>
              </c:pt>
              <c:pt idx="2">
                <c:v>200</c:v>
              </c:pt>
              <c:pt idx="3">
                <c:v>300</c:v>
              </c:pt>
              <c:pt idx="4">
                <c:v>400</c:v>
              </c:pt>
              <c:pt idx="5">
                <c:v>500</c:v>
              </c:pt>
              <c:pt idx="6">
                <c:v>600</c:v>
              </c:pt>
              <c:pt idx="7">
                <c:v>700</c:v>
              </c:pt>
              <c:pt idx="8">
                <c:v>800</c:v>
              </c:pt>
              <c:pt idx="9">
                <c:v>900</c:v>
              </c:pt>
              <c:pt idx="10">
                <c:v>1000</c:v>
              </c:pt>
              <c:pt idx="11">
                <c:v>1100</c:v>
              </c:pt>
              <c:pt idx="12">
                <c:v>1200</c:v>
              </c:pt>
              <c:pt idx="13">
                <c:v>1300</c:v>
              </c:pt>
              <c:pt idx="14">
                <c:v>1400</c:v>
              </c:pt>
            </c:numLit>
          </c:xVal>
          <c:yVal>
            <c:numLit>
              <c:formatCode>General</c:formatCode>
              <c:ptCount val="15"/>
              <c:pt idx="0">
                <c:v>1.5371429166264821</c:v>
              </c:pt>
              <c:pt idx="1">
                <c:v>1.721587407335968</c:v>
              </c:pt>
              <c:pt idx="2">
                <c:v>1.9587303239624501</c:v>
              </c:pt>
              <c:pt idx="3">
                <c:v>2.2485716665059621</c:v>
              </c:pt>
              <c:pt idx="4">
                <c:v>2.5911114349664022</c:v>
              </c:pt>
              <c:pt idx="5">
                <c:v>2.9863496293438359</c:v>
              </c:pt>
              <c:pt idx="6">
                <c:v>3.4342862496383399</c:v>
              </c:pt>
              <c:pt idx="7">
                <c:v>3.9349212958498012</c:v>
              </c:pt>
              <c:pt idx="8">
                <c:v>4.4882547679782556</c:v>
              </c:pt>
              <c:pt idx="9">
                <c:v>5.0942866660236836</c:v>
              </c:pt>
              <c:pt idx="10">
                <c:v>5.7530169899861638</c:v>
              </c:pt>
              <c:pt idx="11">
                <c:v>6.4644457398656074</c:v>
              </c:pt>
              <c:pt idx="12">
                <c:v>7.2285729156620517</c:v>
              </c:pt>
              <c:pt idx="13">
                <c:v>8.0453985173754905</c:v>
              </c:pt>
              <c:pt idx="14">
                <c:v>8.9149225450059237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1888"/>
        <c:axId val="111388160"/>
      </c:scatterChart>
      <c:scatterChart>
        <c:scatterStyle val="smoothMarker"/>
        <c:varyColors val="0"/>
        <c:ser>
          <c:idx val="10"/>
          <c:order val="9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32.808300000000003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92256"/>
        <c:axId val="111390080"/>
      </c:scatterChart>
      <c:valAx>
        <c:axId val="111381888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RPM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388160"/>
        <c:crosses val="autoZero"/>
        <c:crossBetween val="midCat"/>
        <c:majorUnit val="100"/>
      </c:valAx>
      <c:valAx>
        <c:axId val="11138816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m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6026982131577599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381888"/>
        <c:crosses val="autoZero"/>
        <c:crossBetween val="midCat"/>
        <c:majorUnit val="1"/>
      </c:valAx>
      <c:valAx>
        <c:axId val="111390080"/>
        <c:scaling>
          <c:orientation val="minMax"/>
          <c:max val="32.79999999999999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NPSHr - ft</a:t>
                </a:r>
              </a:p>
            </c:rich>
          </c:tx>
          <c:layout>
            <c:manualLayout>
              <c:xMode val="edge"/>
              <c:yMode val="edge"/>
              <c:x val="0.92994717432472895"/>
              <c:y val="0.605194864188036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s-MX"/>
          </a:p>
        </c:txPr>
        <c:crossAx val="111392256"/>
        <c:crosses val="max"/>
        <c:crossBetween val="midCat"/>
      </c:valAx>
      <c:valAx>
        <c:axId val="111392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3900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  <a:effectLst/>
  </c:spPr>
  <c:printSettings>
    <c:headerFooter/>
    <c:pageMargins b="0.75000000000000999" l="0.70000000000000095" r="0.70000000000000095" t="0.75000000000000999" header="0.3" footer="0.3"/>
    <c:pageSetup paperSize="9" orientation="landscape" horizontalDpi="-3" verticalDpi="0"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07671957671905E-2"/>
          <c:y val="8.0354265634151198E-2"/>
          <c:w val="0.682209490740741"/>
          <c:h val="0.790361445783132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'400250G2'!$N$28</c:f>
              <c:strCache>
                <c:ptCount val="1"/>
                <c:pt idx="0">
                  <c:v>0 / 0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'400250G2'!$Q$27:$Q$28</c:f>
              <c:numCache>
                <c:formatCode>0</c:formatCode>
                <c:ptCount val="2"/>
                <c:pt idx="0" formatCode="General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'400250G2'!$R$27:$R$28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1750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'400250G2'!$N$30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'400250G2'!$Q$29:$Q$30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'400250G2'!$R$29:$R$30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'400250G2'!$N$32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strRef>
              <c:f>'400250G2'!$Q$31:$Q$32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'400250G2'!$R$31:$R$32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'400250G2'!$N$34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'400250G2'!$Q$33:$Q$34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'400250G2'!$R$33:$R$34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'400250G2'!$N$36</c:f>
              <c:strCache>
                <c:ptCount val="1"/>
                <c:pt idx="0">
                  <c:v>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strRef>
              <c:f>'400250G2'!$Q$35:$Q$36</c:f>
              <c:strCache>
                <c:ptCount val="2"/>
                <c:pt idx="0">
                  <c:v>N/A</c:v>
                </c:pt>
                <c:pt idx="1">
                  <c:v>700</c:v>
                </c:pt>
              </c:strCache>
            </c:strRef>
          </c:xVal>
          <c:yVal>
            <c:numRef>
              <c:f>'400250G2'!$R$35:$R$36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'400250G2'!$N$38</c:f>
              <c:strCache>
                <c:ptCount val="1"/>
                <c:pt idx="0">
                  <c:v>7 / 105</c:v>
                </c:pt>
              </c:strCache>
            </c:strRef>
          </c:tx>
          <c:marker>
            <c:symbol val="none"/>
          </c:marker>
          <c:xVal>
            <c:numRef>
              <c:f>'400250G2'!$Q$37:$Q$38</c:f>
              <c:numCache>
                <c:formatCode>0</c:formatCode>
                <c:ptCount val="2"/>
                <c:pt idx="0">
                  <c:v>10.37904124781724</c:v>
                </c:pt>
                <c:pt idx="1">
                  <c:v>520</c:v>
                </c:pt>
              </c:numCache>
            </c:numRef>
          </c:xVal>
          <c:yVal>
            <c:numRef>
              <c:f>'400250G2'!$R$37:$R$38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1274.0523968804569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27680"/>
        <c:axId val="111929600"/>
      </c:scatterChart>
      <c:scatterChart>
        <c:scatterStyle val="smoothMarker"/>
        <c:varyColors val="0"/>
        <c:ser>
          <c:idx val="8"/>
          <c:order val="6"/>
          <c:tx>
            <c:v> </c:v>
          </c:tx>
          <c:spPr>
            <a:ln>
              <a:noFill/>
            </a:ln>
          </c:spPr>
          <c:marker>
            <c:symbol val="none"/>
          </c:marker>
          <c:xVal>
            <c:numRef>
              <c:f>'400250G2'!$P$36</c:f>
              <c:numCache>
                <c:formatCode>0.0</c:formatCode>
                <c:ptCount val="1"/>
                <c:pt idx="0">
                  <c:v>24.226989580747453</c:v>
                </c:pt>
              </c:numCache>
            </c:numRef>
          </c:xVal>
          <c:yVal>
            <c:numRef>
              <c:f>'400250G2'!$P$22</c:f>
              <c:numCache>
                <c:formatCode>0.00</c:formatCode>
                <c:ptCount val="1"/>
                <c:pt idx="0">
                  <c:v>475.50966711153239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10112"/>
        <c:axId val="111608192"/>
      </c:scatterChart>
      <c:valAx>
        <c:axId val="111927680"/>
        <c:scaling>
          <c:orientation val="minMax"/>
          <c:max val="7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RPM</a:t>
                </a:r>
              </a:p>
            </c:rich>
          </c:tx>
          <c:layout>
            <c:manualLayout>
              <c:xMode val="edge"/>
              <c:yMode val="edge"/>
              <c:x val="0.40547321428571398"/>
              <c:y val="0.918072295309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929600"/>
        <c:crossesAt val="0"/>
        <c:crossBetween val="midCat"/>
        <c:majorUnit val="100"/>
        <c:minorUnit val="100"/>
      </c:valAx>
      <c:valAx>
        <c:axId val="111929600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aseline="0"/>
                  <a:t>Flow - l/m</a:t>
                </a:r>
              </a:p>
            </c:rich>
          </c:tx>
          <c:layout>
            <c:manualLayout>
              <c:xMode val="edge"/>
              <c:yMode val="edge"/>
              <c:x val="7.3085317460317399E-3"/>
              <c:y val="0.451225369104382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1927680"/>
        <c:crosses val="autoZero"/>
        <c:crossBetween val="midCat"/>
        <c:majorUnit val="200"/>
        <c:minorUnit val="1"/>
      </c:valAx>
      <c:valAx>
        <c:axId val="111608192"/>
        <c:scaling>
          <c:orientation val="minMax"/>
          <c:max val="475.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 baseline="0"/>
                </a:pPr>
                <a:r>
                  <a:rPr lang="en-GB" sz="1000" b="1" baseline="0"/>
                  <a:t>Flow - usgpm</a:t>
                </a:r>
              </a:p>
            </c:rich>
          </c:tx>
          <c:layout>
            <c:manualLayout>
              <c:xMode val="edge"/>
              <c:yMode val="edge"/>
              <c:x val="0.82032142857142898"/>
              <c:y val="0.3738289609053649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1610112"/>
        <c:crosses val="max"/>
        <c:crossBetween val="midCat"/>
        <c:majorUnit val="50"/>
      </c:valAx>
      <c:valAx>
        <c:axId val="11161011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116081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67460317461996"/>
          <c:y val="0.29489814814814802"/>
          <c:w val="0.141946428571436"/>
          <c:h val="0.438041666666667"/>
        </c:manualLayout>
      </c:layout>
      <c:overlay val="0"/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1199" r="0.75000000000001199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1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1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1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1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1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/Relationships>
</file>

<file path=xl/drawings/_rels/drawing1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1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9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13</xdr:row>
      <xdr:rowOff>12700</xdr:rowOff>
    </xdr:from>
    <xdr:to>
      <xdr:col>2</xdr:col>
      <xdr:colOff>3175</xdr:colOff>
      <xdr:row>17</xdr:row>
      <xdr:rowOff>167036</xdr:rowOff>
    </xdr:to>
    <xdr:pic>
      <xdr:nvPicPr>
        <xdr:cNvPr id="4" name="Picture 3" descr="LOGO PFCUSA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714500"/>
          <a:ext cx="2857500" cy="875061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18</xdr:row>
      <xdr:rowOff>139700</xdr:rowOff>
    </xdr:from>
    <xdr:to>
      <xdr:col>1</xdr:col>
      <xdr:colOff>2929636</xdr:colOff>
      <xdr:row>19</xdr:row>
      <xdr:rowOff>163068</xdr:rowOff>
    </xdr:to>
    <xdr:sp macro="" textlink="">
      <xdr:nvSpPr>
        <xdr:cNvPr id="5" name="TextBox 4"/>
        <xdr:cNvSpPr txBox="1"/>
      </xdr:nvSpPr>
      <xdr:spPr>
        <a:xfrm>
          <a:off x="292100" y="2730500"/>
          <a:ext cx="2916936" cy="201168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MLS -</a:t>
          </a:r>
          <a:r>
            <a:rPr lang="en-US" sz="1100" b="1" baseline="0"/>
            <a:t> </a:t>
          </a:r>
          <a:r>
            <a:rPr lang="en-US" sz="1100" b="1"/>
            <a:t>SELECTOR</a:t>
          </a:r>
        </a:p>
      </xdr:txBody>
    </xdr:sp>
    <xdr:clientData/>
  </xdr:twoCellAnchor>
  <xdr:twoCellAnchor>
    <xdr:from>
      <xdr:col>2</xdr:col>
      <xdr:colOff>203200</xdr:colOff>
      <xdr:row>13</xdr:row>
      <xdr:rowOff>38100</xdr:rowOff>
    </xdr:from>
    <xdr:to>
      <xdr:col>3</xdr:col>
      <xdr:colOff>952500</xdr:colOff>
      <xdr:row>17</xdr:row>
      <xdr:rowOff>127000</xdr:rowOff>
    </xdr:to>
    <xdr:sp macro="" textlink="">
      <xdr:nvSpPr>
        <xdr:cNvPr id="6" name="TextBox 5"/>
        <xdr:cNvSpPr txBox="1"/>
      </xdr:nvSpPr>
      <xdr:spPr>
        <a:xfrm>
          <a:off x="3429000" y="1739900"/>
          <a:ext cx="17907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MLS -</a:t>
          </a:r>
          <a:r>
            <a:rPr lang="en-US" sz="2400" b="1" baseline="0"/>
            <a:t> </a:t>
          </a:r>
          <a:r>
            <a:rPr lang="en-US" sz="2400" b="1"/>
            <a:t>Series</a:t>
          </a:r>
        </a:p>
        <a:p>
          <a:r>
            <a:rPr lang="en-US" sz="2400" b="1"/>
            <a:t>  SELECTOR</a:t>
          </a:r>
        </a:p>
      </xdr:txBody>
    </xdr:sp>
    <xdr:clientData/>
  </xdr:twoCellAnchor>
  <xdr:twoCellAnchor>
    <xdr:from>
      <xdr:col>11</xdr:col>
      <xdr:colOff>215900</xdr:colOff>
      <xdr:row>0</xdr:row>
      <xdr:rowOff>12700</xdr:rowOff>
    </xdr:from>
    <xdr:to>
      <xdr:col>14</xdr:col>
      <xdr:colOff>215900</xdr:colOff>
      <xdr:row>4</xdr:row>
      <xdr:rowOff>114300</xdr:rowOff>
    </xdr:to>
    <xdr:sp macro="" textlink="">
      <xdr:nvSpPr>
        <xdr:cNvPr id="7" name="TextBox 6"/>
        <xdr:cNvSpPr txBox="1"/>
      </xdr:nvSpPr>
      <xdr:spPr>
        <a:xfrm>
          <a:off x="12814300" y="12700"/>
          <a:ext cx="31242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bg1">
                  <a:lumMod val="65000"/>
                </a:schemeClr>
              </a:solidFill>
            </a:rPr>
            <a:t>Advanced Technologies for Superior Performance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0.88839</cdr:x>
      <cdr:y>0.54418</cdr:y>
    </cdr:from>
    <cdr:to>
      <cdr:x>0.96434</cdr:x>
      <cdr:y>0.60315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50603" y="2203003"/>
          <a:ext cx="457431" cy="238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0.8804</cdr:x>
      <cdr:y>0.39936</cdr:y>
    </cdr:from>
    <cdr:to>
      <cdr:x>0.98483</cdr:x>
      <cdr:y>0.46281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02454" y="1616737"/>
          <a:ext cx="628960" cy="25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0.88603</cdr:x>
      <cdr:y>0.4456</cdr:y>
    </cdr:from>
    <cdr:to>
      <cdr:x>0.97938</cdr:x>
      <cdr:y>0.50905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36350" y="1803943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0.88275</cdr:x>
      <cdr:y>0.50516</cdr:y>
    </cdr:from>
    <cdr:to>
      <cdr:x>0.9761</cdr:x>
      <cdr:y>0.56861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16615" y="2045069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0.86999</cdr:x>
      <cdr:y>0.08172</cdr:y>
    </cdr:from>
    <cdr:to>
      <cdr:x>0.976</cdr:x>
      <cdr:y>0.15516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39750" y="330827"/>
          <a:ext cx="638477" cy="297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0.8758</cdr:x>
      <cdr:y>0.31354</cdr:y>
    </cdr:from>
    <cdr:to>
      <cdr:x>0.98498</cdr:x>
      <cdr:y>0.38172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74764" y="1269295"/>
          <a:ext cx="657569" cy="276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0.44305</cdr:x>
      <cdr:y>0.04679</cdr:y>
    </cdr:from>
    <cdr:to>
      <cdr:x>0.56015</cdr:x>
      <cdr:y>0.10464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668380" y="189424"/>
          <a:ext cx="705269" cy="234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0.63425</cdr:x>
      <cdr:y>0.04111</cdr:y>
    </cdr:from>
    <cdr:to>
      <cdr:x>0.75292</cdr:x>
      <cdr:y>0.10675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19968" y="166430"/>
          <a:ext cx="714726" cy="265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38100</xdr:rowOff>
    </xdr:from>
    <xdr:to>
      <xdr:col>4</xdr:col>
      <xdr:colOff>211738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0.89816</cdr:x>
      <cdr:y>0.46476</cdr:y>
    </cdr:from>
    <cdr:to>
      <cdr:x>0.97411</cdr:x>
      <cdr:y>0.52373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00968" y="1885164"/>
          <a:ext cx="456718" cy="2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0.88699</cdr:x>
      <cdr:y>0.27983</cdr:y>
    </cdr:from>
    <cdr:to>
      <cdr:x>0.99142</cdr:x>
      <cdr:y>0.34328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33849" y="1135050"/>
          <a:ext cx="627980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0.89234</cdr:x>
      <cdr:y>0.33759</cdr:y>
    </cdr:from>
    <cdr:to>
      <cdr:x>0.98569</cdr:x>
      <cdr:y>0.40104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65977" y="1369338"/>
          <a:ext cx="561352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0.88813</cdr:x>
      <cdr:y>0.4159</cdr:y>
    </cdr:from>
    <cdr:to>
      <cdr:x>0.98148</cdr:x>
      <cdr:y>0.47935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40659" y="1686997"/>
          <a:ext cx="561351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0.65593</cdr:x>
      <cdr:y>0.04003</cdr:y>
    </cdr:from>
    <cdr:to>
      <cdr:x>0.76194</cdr:x>
      <cdr:y>0.11347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944386" y="162375"/>
          <a:ext cx="637481" cy="29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0.88687</cdr:x>
      <cdr:y>0.10284</cdr:y>
    </cdr:from>
    <cdr:to>
      <cdr:x>0.99605</cdr:x>
      <cdr:y>0.17102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33131" y="417126"/>
          <a:ext cx="656544" cy="276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0.31062</cdr:x>
      <cdr:y>0.04438</cdr:y>
    </cdr:from>
    <cdr:to>
      <cdr:x>0.42772</cdr:x>
      <cdr:y>0.10223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867866" y="180000"/>
          <a:ext cx="704169" cy="234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0.46965</cdr:x>
      <cdr:y>0.04132</cdr:y>
    </cdr:from>
    <cdr:to>
      <cdr:x>0.58832</cdr:x>
      <cdr:y>0.10696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24191" y="167623"/>
          <a:ext cx="713610" cy="26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0.89938</cdr:x>
      <cdr:y>0.4612</cdr:y>
    </cdr:from>
    <cdr:to>
      <cdr:x>0.97533</cdr:x>
      <cdr:y>0.52017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11253" y="1869445"/>
          <a:ext cx="456967" cy="239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0.88393</cdr:x>
      <cdr:y>0.28334</cdr:y>
    </cdr:from>
    <cdr:to>
      <cdr:x>0.98836</cdr:x>
      <cdr:y>0.34679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18289" y="1148529"/>
          <a:ext cx="628321" cy="257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0.88937</cdr:x>
      <cdr:y>0.33853</cdr:y>
    </cdr:from>
    <cdr:to>
      <cdr:x>0.98272</cdr:x>
      <cdr:y>0.40198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1034" y="1372229"/>
          <a:ext cx="561656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0.89338</cdr:x>
      <cdr:y>0.41376</cdr:y>
    </cdr:from>
    <cdr:to>
      <cdr:x>0.98673</cdr:x>
      <cdr:y>0.47721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5166" y="1677166"/>
          <a:ext cx="561657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0.66231</cdr:x>
      <cdr:y>0.04165</cdr:y>
    </cdr:from>
    <cdr:to>
      <cdr:x>0.76832</cdr:x>
      <cdr:y>0.11509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984884" y="168840"/>
          <a:ext cx="637828" cy="297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0.88514</cdr:x>
      <cdr:y>0.09887</cdr:y>
    </cdr:from>
    <cdr:to>
      <cdr:x>0.99432</cdr:x>
      <cdr:y>0.16705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25570" y="400757"/>
          <a:ext cx="656901" cy="276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0.3292</cdr:x>
      <cdr:y>0.0435</cdr:y>
    </cdr:from>
    <cdr:to>
      <cdr:x>0.4463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980687" y="176326"/>
          <a:ext cx="704552" cy="234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0.47055</cdr:x>
      <cdr:y>0.04039</cdr:y>
    </cdr:from>
    <cdr:to>
      <cdr:x>0.58922</cdr:x>
      <cdr:y>0.10603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31137" y="163732"/>
          <a:ext cx="713998" cy="26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0.89343</cdr:x>
      <cdr:y>0.456</cdr:y>
    </cdr:from>
    <cdr:to>
      <cdr:x>0.96938</cdr:x>
      <cdr:y>0.51497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72535" y="1849623"/>
          <a:ext cx="456718" cy="2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0.89113</cdr:x>
      <cdr:y>0.26143</cdr:y>
    </cdr:from>
    <cdr:to>
      <cdr:x>0.99556</cdr:x>
      <cdr:y>0.32488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58727" y="1060414"/>
          <a:ext cx="627980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0.89056</cdr:x>
      <cdr:y>0.33496</cdr:y>
    </cdr:from>
    <cdr:to>
      <cdr:x>0.98391</cdr:x>
      <cdr:y>0.39841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5315" y="1358675"/>
          <a:ext cx="561352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0.88635</cdr:x>
      <cdr:y>0.40626</cdr:y>
    </cdr:from>
    <cdr:to>
      <cdr:x>0.9797</cdr:x>
      <cdr:y>0.46971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29997" y="1647902"/>
          <a:ext cx="561351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0.66007</cdr:x>
      <cdr:y>0.03828</cdr:y>
    </cdr:from>
    <cdr:to>
      <cdr:x>0.76608</cdr:x>
      <cdr:y>0.11172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969265" y="155267"/>
          <a:ext cx="637481" cy="29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0.8851</cdr:x>
      <cdr:y>0.09495</cdr:y>
    </cdr:from>
    <cdr:to>
      <cdr:x>0.99428</cdr:x>
      <cdr:y>0.16313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22470" y="385138"/>
          <a:ext cx="656544" cy="276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0.3118</cdr:x>
      <cdr:y>0.05139</cdr:y>
    </cdr:from>
    <cdr:to>
      <cdr:x>0.4289</cdr:x>
      <cdr:y>0.10924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874975" y="208433"/>
          <a:ext cx="704169" cy="234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0.47615</cdr:x>
      <cdr:y>0.04308</cdr:y>
    </cdr:from>
    <cdr:to>
      <cdr:x>0.59482</cdr:x>
      <cdr:y>0.10872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63286" y="174731"/>
          <a:ext cx="713610" cy="26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38100</xdr:rowOff>
    </xdr:from>
    <xdr:to>
      <xdr:col>4</xdr:col>
      <xdr:colOff>199038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0.88811</cdr:x>
      <cdr:y>0.53661</cdr:y>
    </cdr:from>
    <cdr:to>
      <cdr:x>0.96406</cdr:x>
      <cdr:y>0.59558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40548" y="2176601"/>
          <a:ext cx="456718" cy="2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0.88345</cdr:x>
      <cdr:y>0.40776</cdr:y>
    </cdr:from>
    <cdr:to>
      <cdr:x>0.98788</cdr:x>
      <cdr:y>0.47121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12524" y="1653949"/>
          <a:ext cx="627980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0.8882</cdr:x>
      <cdr:y>0.44536</cdr:y>
    </cdr:from>
    <cdr:to>
      <cdr:x>0.98155</cdr:x>
      <cdr:y>0.50881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1098" y="1806492"/>
          <a:ext cx="561352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0.8834</cdr:x>
      <cdr:y>0.5009</cdr:y>
    </cdr:from>
    <cdr:to>
      <cdr:x>0.97675</cdr:x>
      <cdr:y>0.56435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12226" y="2031745"/>
          <a:ext cx="561351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0.87757</cdr:x>
      <cdr:y>0.16533</cdr:y>
    </cdr:from>
    <cdr:to>
      <cdr:x>0.98358</cdr:x>
      <cdr:y>0.23877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77176" y="670612"/>
          <a:ext cx="637481" cy="29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0.88096</cdr:x>
      <cdr:y>0.32977</cdr:y>
    </cdr:from>
    <cdr:to>
      <cdr:x>0.99014</cdr:x>
      <cdr:y>0.39795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97592" y="1337638"/>
          <a:ext cx="656544" cy="276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0.50979</cdr:x>
      <cdr:y>0.04438</cdr:y>
    </cdr:from>
    <cdr:to>
      <cdr:x>0.62689</cdr:x>
      <cdr:y>0.10223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065600" y="180000"/>
          <a:ext cx="704169" cy="234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0.71847</cdr:x>
      <cdr:y>0.04045</cdr:y>
    </cdr:from>
    <cdr:to>
      <cdr:x>0.83714</cdr:x>
      <cdr:y>0.10609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20468" y="164069"/>
          <a:ext cx="713610" cy="26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0.89433</cdr:x>
      <cdr:y>0.53504</cdr:y>
    </cdr:from>
    <cdr:to>
      <cdr:x>0.97028</cdr:x>
      <cdr:y>0.59401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83680" y="2167364"/>
          <a:ext cx="457204" cy="23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0.88099</cdr:x>
      <cdr:y>0.40176</cdr:y>
    </cdr:from>
    <cdr:to>
      <cdr:x>0.98542</cdr:x>
      <cdr:y>0.46521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03399" y="1627476"/>
          <a:ext cx="6286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0.88709</cdr:x>
      <cdr:y>0.44861</cdr:y>
    </cdr:from>
    <cdr:to>
      <cdr:x>0.98044</cdr:x>
      <cdr:y>0.51206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0132" y="1817230"/>
          <a:ext cx="5619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0.88597</cdr:x>
      <cdr:y>0.49988</cdr:y>
    </cdr:from>
    <cdr:to>
      <cdr:x>0.97932</cdr:x>
      <cdr:y>0.56333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33358" y="2024943"/>
          <a:ext cx="5619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0.87692</cdr:x>
      <cdr:y>0.16665</cdr:y>
    </cdr:from>
    <cdr:to>
      <cdr:x>0.98293</cdr:x>
      <cdr:y>0.24009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78905" y="675091"/>
          <a:ext cx="638159" cy="297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0.87613</cdr:x>
      <cdr:y>0.32432</cdr:y>
    </cdr:from>
    <cdr:to>
      <cdr:x>0.98531</cdr:x>
      <cdr:y>0.3925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74110" y="1313778"/>
          <a:ext cx="657242" cy="276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0.52158</cdr:x>
      <cdr:y>0.0435</cdr:y>
    </cdr:from>
    <cdr:to>
      <cdr:x>0.63868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139827" y="176212"/>
          <a:ext cx="704918" cy="234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0.71327</cdr:x>
      <cdr:y>0.04118</cdr:y>
    </cdr:from>
    <cdr:to>
      <cdr:x>0.83194</cdr:x>
      <cdr:y>0.10682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293751" y="166810"/>
          <a:ext cx="714369" cy="265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0.90111</cdr:x>
      <cdr:y>0.49893</cdr:y>
    </cdr:from>
    <cdr:to>
      <cdr:x>0.97706</cdr:x>
      <cdr:y>0.5579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4502" y="1845237"/>
          <a:ext cx="457186" cy="218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0.72446</cdr:x>
      <cdr:y>0.0415</cdr:y>
    </cdr:from>
    <cdr:to>
      <cdr:x>0.82889</cdr:x>
      <cdr:y>0.10495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61101" y="153476"/>
          <a:ext cx="628648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0.88879</cdr:x>
      <cdr:y>0.09926</cdr:y>
    </cdr:from>
    <cdr:to>
      <cdr:x>0.98214</cdr:x>
      <cdr:y>0.16271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0355" y="367098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0.89049</cdr:x>
      <cdr:y>0.39575</cdr:y>
    </cdr:from>
    <cdr:to>
      <cdr:x>0.98384</cdr:x>
      <cdr:y>0.4592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60561" y="1463661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0.37342</cdr:x>
      <cdr:y>0.03565</cdr:y>
    </cdr:from>
    <cdr:to>
      <cdr:x>0.47943</cdr:x>
      <cdr:y>0.10909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47927" y="130751"/>
          <a:ext cx="638148" cy="269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0.55176</cdr:x>
      <cdr:y>0.03712</cdr:y>
    </cdr:from>
    <cdr:to>
      <cdr:x>0.66094</cdr:x>
      <cdr:y>0.1053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21485" y="137278"/>
          <a:ext cx="657243" cy="25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0.13449</cdr:x>
      <cdr:y>0.0435</cdr:y>
    </cdr:from>
    <cdr:to>
      <cdr:x>0.25159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809625" y="159517"/>
          <a:ext cx="704877" cy="212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0.25215</cdr:x>
      <cdr:y>0.03782</cdr:y>
    </cdr:from>
    <cdr:to>
      <cdr:x>0.37082</cdr:x>
      <cdr:y>0.10346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517863" y="139869"/>
          <a:ext cx="714389" cy="242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0.89354</cdr:x>
      <cdr:y>0.5411</cdr:y>
    </cdr:from>
    <cdr:to>
      <cdr:x>0.96949</cdr:x>
      <cdr:y>0.60007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4232" y="2199735"/>
          <a:ext cx="458505" cy="23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0.8835</cdr:x>
      <cdr:y>0.40889</cdr:y>
    </cdr:from>
    <cdr:to>
      <cdr:x>0.98793</cdr:x>
      <cdr:y>0.47234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33645" y="1662229"/>
          <a:ext cx="630438" cy="257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0.88816</cdr:x>
      <cdr:y>0.44509</cdr:y>
    </cdr:from>
    <cdr:to>
      <cdr:x>0.98151</cdr:x>
      <cdr:y>0.50854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61766" y="1809409"/>
          <a:ext cx="563549" cy="257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0.88544</cdr:x>
      <cdr:y>0.50634</cdr:y>
    </cdr:from>
    <cdr:to>
      <cdr:x>0.97879</cdr:x>
      <cdr:y>0.56979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45359" y="2058410"/>
          <a:ext cx="563549" cy="25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0.88462</cdr:x>
      <cdr:y>0.1678</cdr:y>
    </cdr:from>
    <cdr:to>
      <cdr:x>0.99063</cdr:x>
      <cdr:y>0.24124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340416" y="682137"/>
          <a:ext cx="639977" cy="29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0.88751</cdr:x>
      <cdr:y>0.32391</cdr:y>
    </cdr:from>
    <cdr:to>
      <cdr:x>0.99669</cdr:x>
      <cdr:y>0.39209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57865" y="1316763"/>
          <a:ext cx="659113" cy="277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0.51758</cdr:x>
      <cdr:y>0.0435</cdr:y>
    </cdr:from>
    <cdr:to>
      <cdr:x>0.63468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124579" y="176839"/>
          <a:ext cx="706926" cy="235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0.71539</cdr:x>
      <cdr:y>0.04157</cdr:y>
    </cdr:from>
    <cdr:to>
      <cdr:x>0.83406</cdr:x>
      <cdr:y>0.10721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18756" y="168988"/>
          <a:ext cx="716404" cy="266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571500</xdr:colOff>
      <xdr:row>0</xdr:row>
      <xdr:rowOff>63500</xdr:rowOff>
    </xdr:from>
    <xdr:to>
      <xdr:col>4</xdr:col>
      <xdr:colOff>173638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0.89764</cdr:x>
      <cdr:y>0.47149</cdr:y>
    </cdr:from>
    <cdr:to>
      <cdr:x>0.97359</cdr:x>
      <cdr:y>0.53046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00823" y="1911161"/>
          <a:ext cx="456967" cy="239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0.88046</cdr:x>
      <cdr:y>0.32794</cdr:y>
    </cdr:from>
    <cdr:to>
      <cdr:x>0.98489</cdr:x>
      <cdr:y>0.39139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97432" y="1329296"/>
          <a:ext cx="628321" cy="257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0.89052</cdr:x>
      <cdr:y>0.38827</cdr:y>
    </cdr:from>
    <cdr:to>
      <cdr:x>0.98387</cdr:x>
      <cdr:y>0.45172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7986" y="1573853"/>
          <a:ext cx="561656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0.88991</cdr:x>
      <cdr:y>0.4352</cdr:y>
    </cdr:from>
    <cdr:to>
      <cdr:x>0.98326</cdr:x>
      <cdr:y>0.49865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54309" y="1764073"/>
          <a:ext cx="561657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0.82351</cdr:x>
      <cdr:y>0.0408</cdr:y>
    </cdr:from>
    <cdr:to>
      <cdr:x>0.92952</cdr:x>
      <cdr:y>0.11424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54765" y="165363"/>
          <a:ext cx="637828" cy="297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0.88167</cdr:x>
      <cdr:y>0.21636</cdr:y>
    </cdr:from>
    <cdr:to>
      <cdr:x>0.99085</cdr:x>
      <cdr:y>0.28454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04712" y="877008"/>
          <a:ext cx="656901" cy="276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0.4176</cdr:x>
      <cdr:y>0.04436</cdr:y>
    </cdr:from>
    <cdr:to>
      <cdr:x>0.5347</cdr:x>
      <cdr:y>0.10221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512558" y="179802"/>
          <a:ext cx="704552" cy="234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0.59246</cdr:x>
      <cdr:y>0.04125</cdr:y>
    </cdr:from>
    <cdr:to>
      <cdr:x>0.71113</cdr:x>
      <cdr:y>0.10689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564632" y="167208"/>
          <a:ext cx="713998" cy="26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0.89627</cdr:x>
      <cdr:y>0.46937</cdr:y>
    </cdr:from>
    <cdr:to>
      <cdr:x>0.97222</cdr:x>
      <cdr:y>0.52834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86573" y="1905237"/>
          <a:ext cx="456458" cy="23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0.88718</cdr:x>
      <cdr:y>0.32721</cdr:y>
    </cdr:from>
    <cdr:to>
      <cdr:x>0.99161</cdr:x>
      <cdr:y>0.39066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31942" y="1328177"/>
          <a:ext cx="627623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0.88939</cdr:x>
      <cdr:y>0.38945</cdr:y>
    </cdr:from>
    <cdr:to>
      <cdr:x>0.98274</cdr:x>
      <cdr:y>0.4529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5249" y="1580808"/>
          <a:ext cx="561032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0.88868</cdr:x>
      <cdr:y>0.43516</cdr:y>
    </cdr:from>
    <cdr:to>
      <cdr:x>0.98203</cdr:x>
      <cdr:y>0.49861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40924" y="1766352"/>
          <a:ext cx="561032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0.81621</cdr:x>
      <cdr:y>0.03923</cdr:y>
    </cdr:from>
    <cdr:to>
      <cdr:x>0.92222</cdr:x>
      <cdr:y>0.11267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05431" y="159249"/>
          <a:ext cx="637119" cy="298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0.88507</cdr:x>
      <cdr:y>0.21535</cdr:y>
    </cdr:from>
    <cdr:to>
      <cdr:x>0.99425</cdr:x>
      <cdr:y>0.28353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19227" y="874138"/>
          <a:ext cx="656170" cy="276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0.42787</cdr:x>
      <cdr:y>0.0426</cdr:y>
    </cdr:from>
    <cdr:to>
      <cdr:x>0.54497</cdr:x>
      <cdr:y>0.10045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571498" y="172936"/>
          <a:ext cx="703769" cy="2348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0.5915</cdr:x>
      <cdr:y>0.0414</cdr:y>
    </cdr:from>
    <cdr:to>
      <cdr:x>0.71017</cdr:x>
      <cdr:y>0.10704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554931" y="168057"/>
          <a:ext cx="713205" cy="266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1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161924</xdr:rowOff>
    </xdr:from>
    <xdr:to>
      <xdr:col>9</xdr:col>
      <xdr:colOff>495299</xdr:colOff>
      <xdr:row>54</xdr:row>
      <xdr:rowOff>28574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0.89557</cdr:x>
      <cdr:y>0.45569</cdr:y>
    </cdr:from>
    <cdr:to>
      <cdr:x>1</cdr:x>
      <cdr:y>0.51914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454214" y="1876918"/>
          <a:ext cx="633621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0.43564</cdr:x>
      <cdr:y>0.0489</cdr:y>
    </cdr:from>
    <cdr:to>
      <cdr:x>0.56907</cdr:x>
      <cdr:y>0.10179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43187" y="201396"/>
          <a:ext cx="809624" cy="217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50000cP</a:t>
          </a:r>
        </a:p>
      </cdr:txBody>
    </cdr:sp>
  </cdr:relSizeAnchor>
  <cdr:relSizeAnchor xmlns:cdr="http://schemas.openxmlformats.org/drawingml/2006/chartDrawing">
    <cdr:from>
      <cdr:x>0.89999</cdr:x>
      <cdr:y>0.5078</cdr:y>
    </cdr:from>
    <cdr:to>
      <cdr:x>0.99334</cdr:x>
      <cdr:y>0.57125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60609" y="2091563"/>
          <a:ext cx="566394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0.88925</cdr:x>
      <cdr:y>0.32224</cdr:y>
    </cdr:from>
    <cdr:to>
      <cdr:x>1</cdr:x>
      <cdr:y>0.38569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436086" y="1327260"/>
          <a:ext cx="671967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0.41909</cdr:y>
    </cdr:from>
    <cdr:to>
      <cdr:x>1</cdr:x>
      <cdr:y>0.48254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3376" y="1726177"/>
          <a:ext cx="691262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0.72204</cdr:x>
      <cdr:y>0.04158</cdr:y>
    </cdr:from>
    <cdr:to>
      <cdr:x>0.83755</cdr:x>
      <cdr:y>0.10503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0944" y="171261"/>
          <a:ext cx="700848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0.87816</cdr:x>
      <cdr:y>0.17732</cdr:y>
    </cdr:from>
    <cdr:to>
      <cdr:x>1</cdr:x>
      <cdr:y>0.24077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457551" y="730370"/>
          <a:ext cx="739255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0</xdr:rowOff>
    </xdr:from>
    <xdr:to>
      <xdr:col>9</xdr:col>
      <xdr:colOff>533399</xdr:colOff>
      <xdr:row>54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0.89557</cdr:x>
      <cdr:y>0.45569</cdr:y>
    </cdr:from>
    <cdr:to>
      <cdr:x>1</cdr:x>
      <cdr:y>0.51914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454214" y="1876918"/>
          <a:ext cx="633621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0.43564</cdr:x>
      <cdr:y>0.0489</cdr:y>
    </cdr:from>
    <cdr:to>
      <cdr:x>0.56907</cdr:x>
      <cdr:y>0.10179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43187" y="201396"/>
          <a:ext cx="809624" cy="217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50000cP</a:t>
          </a:r>
        </a:p>
      </cdr:txBody>
    </cdr:sp>
  </cdr:relSizeAnchor>
  <cdr:relSizeAnchor xmlns:cdr="http://schemas.openxmlformats.org/drawingml/2006/chartDrawing">
    <cdr:from>
      <cdr:x>0.89999</cdr:x>
      <cdr:y>0.5078</cdr:y>
    </cdr:from>
    <cdr:to>
      <cdr:x>0.99334</cdr:x>
      <cdr:y>0.57125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60609" y="2091563"/>
          <a:ext cx="566394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0.88925</cdr:x>
      <cdr:y>0.32224</cdr:y>
    </cdr:from>
    <cdr:to>
      <cdr:x>1</cdr:x>
      <cdr:y>0.38569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436086" y="1327260"/>
          <a:ext cx="671967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0.41909</cdr:y>
    </cdr:from>
    <cdr:to>
      <cdr:x>1</cdr:x>
      <cdr:y>0.48254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3376" y="1726177"/>
          <a:ext cx="691262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0.72204</cdr:x>
      <cdr:y>0.04158</cdr:y>
    </cdr:from>
    <cdr:to>
      <cdr:x>0.83755</cdr:x>
      <cdr:y>0.10503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0944" y="171261"/>
          <a:ext cx="700848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0.87816</cdr:x>
      <cdr:y>0.17732</cdr:y>
    </cdr:from>
    <cdr:to>
      <cdr:x>1</cdr:x>
      <cdr:y>0.24077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457551" y="730370"/>
          <a:ext cx="739255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1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9</xdr:col>
      <xdr:colOff>542924</xdr:colOff>
      <xdr:row>54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0.89557</cdr:x>
      <cdr:y>0.45569</cdr:y>
    </cdr:from>
    <cdr:to>
      <cdr:x>1</cdr:x>
      <cdr:y>0.51914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454214" y="1876918"/>
          <a:ext cx="633621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0.43564</cdr:x>
      <cdr:y>0.0489</cdr:y>
    </cdr:from>
    <cdr:to>
      <cdr:x>0.56907</cdr:x>
      <cdr:y>0.10179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43187" y="201396"/>
          <a:ext cx="809624" cy="217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50000cP</a:t>
          </a:r>
        </a:p>
      </cdr:txBody>
    </cdr:sp>
  </cdr:relSizeAnchor>
  <cdr:relSizeAnchor xmlns:cdr="http://schemas.openxmlformats.org/drawingml/2006/chartDrawing">
    <cdr:from>
      <cdr:x>0.89999</cdr:x>
      <cdr:y>0.5078</cdr:y>
    </cdr:from>
    <cdr:to>
      <cdr:x>0.99334</cdr:x>
      <cdr:y>0.57125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60609" y="2091563"/>
          <a:ext cx="566394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0.88925</cdr:x>
      <cdr:y>0.32224</cdr:y>
    </cdr:from>
    <cdr:to>
      <cdr:x>1</cdr:x>
      <cdr:y>0.38569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436086" y="1327260"/>
          <a:ext cx="671967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0.41909</cdr:y>
    </cdr:from>
    <cdr:to>
      <cdr:x>1</cdr:x>
      <cdr:y>0.48254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3376" y="1726177"/>
          <a:ext cx="691262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0.72204</cdr:x>
      <cdr:y>0.04158</cdr:y>
    </cdr:from>
    <cdr:to>
      <cdr:x>0.83755</cdr:x>
      <cdr:y>0.10503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0944" y="171261"/>
          <a:ext cx="700848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0.87816</cdr:x>
      <cdr:y>0.17732</cdr:y>
    </cdr:from>
    <cdr:to>
      <cdr:x>1</cdr:x>
      <cdr:y>0.24077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457551" y="730370"/>
          <a:ext cx="739255" cy="261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1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>
    <xdr:from>
      <xdr:col>0</xdr:col>
      <xdr:colOff>104775</xdr:colOff>
      <xdr:row>28</xdr:row>
      <xdr:rowOff>123825</xdr:rowOff>
    </xdr:from>
    <xdr:to>
      <xdr:col>9</xdr:col>
      <xdr:colOff>580650</xdr:colOff>
      <xdr:row>52</xdr:row>
      <xdr:rowOff>125625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7" name="Picture 6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161924</xdr:rowOff>
    </xdr:from>
    <xdr:to>
      <xdr:col>9</xdr:col>
      <xdr:colOff>495299</xdr:colOff>
      <xdr:row>54</xdr:row>
      <xdr:rowOff>28574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38100</xdr:rowOff>
    </xdr:from>
    <xdr:to>
      <xdr:col>4</xdr:col>
      <xdr:colOff>211738</xdr:colOff>
      <xdr:row>5</xdr:row>
      <xdr:rowOff>25433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0.88641</cdr:x>
      <cdr:y>0.30785</cdr:y>
    </cdr:from>
    <cdr:to>
      <cdr:x>0.99084</cdr:x>
      <cdr:y>0.3713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78200" y="1257941"/>
          <a:ext cx="63362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0.88911</cdr:x>
      <cdr:y>0.42729</cdr:y>
    </cdr:from>
    <cdr:to>
      <cdr:x>0.98246</cdr:x>
      <cdr:y>0.49074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94598" y="1745988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0.90167</cdr:x>
      <cdr:y>0.49954</cdr:y>
    </cdr:from>
    <cdr:to>
      <cdr:x>0.99502</cdr:x>
      <cdr:y>0.56299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70798" y="2041229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0.67953</cdr:x>
      <cdr:y>0.03978</cdr:y>
    </cdr:from>
    <cdr:to>
      <cdr:x>0.79028</cdr:x>
      <cdr:y>0.10323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23011" y="162566"/>
          <a:ext cx="671967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0.1771</cdr:y>
    </cdr:from>
    <cdr:to>
      <cdr:x>1</cdr:x>
      <cdr:y>0.24055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26881" y="723687"/>
          <a:ext cx="69126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0.3307</cdr:x>
      <cdr:y>0.03745</cdr:y>
    </cdr:from>
    <cdr:to>
      <cdr:x>0.44621</cdr:x>
      <cdr:y>0.1009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06510" y="153041"/>
          <a:ext cx="70084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0.48235</cdr:x>
      <cdr:y>0.03279</cdr:y>
    </cdr:from>
    <cdr:to>
      <cdr:x>0.60419</cdr:x>
      <cdr:y>0.09624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26618" y="133991"/>
          <a:ext cx="73925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338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3879" name="Line 3"/>
        <xdr:cNvSpPr>
          <a:spLocks noChangeShapeType="1"/>
        </xdr:cNvSpPr>
      </xdr:nvSpPr>
      <xdr:spPr bwMode="auto">
        <a:xfrm>
          <a:off x="557514" y="4365933"/>
          <a:ext cx="599351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33880" name="Line 5"/>
        <xdr:cNvSpPr>
          <a:spLocks noChangeShapeType="1"/>
        </xdr:cNvSpPr>
      </xdr:nvSpPr>
      <xdr:spPr bwMode="auto">
        <a:xfrm>
          <a:off x="557514" y="4528702"/>
          <a:ext cx="599351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33881" name="Line 6"/>
        <xdr:cNvSpPr>
          <a:spLocks noChangeShapeType="1"/>
        </xdr:cNvSpPr>
      </xdr:nvSpPr>
      <xdr:spPr bwMode="auto">
        <a:xfrm>
          <a:off x="2938764" y="4197015"/>
          <a:ext cx="600074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33882" name="AutoShape 10"/>
        <xdr:cNvSpPr>
          <a:spLocks noChangeArrowheads="1"/>
        </xdr:cNvSpPr>
      </xdr:nvSpPr>
      <xdr:spPr bwMode="auto">
        <a:xfrm>
          <a:off x="3433098" y="430528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613762</xdr:colOff>
      <xdr:row>0</xdr:row>
      <xdr:rowOff>33665</xdr:rowOff>
    </xdr:from>
    <xdr:to>
      <xdr:col>4</xdr:col>
      <xdr:colOff>215900</xdr:colOff>
      <xdr:row>5</xdr:row>
      <xdr:rowOff>20998</xdr:rowOff>
    </xdr:to>
    <xdr:pic>
      <xdr:nvPicPr>
        <xdr:cNvPr id="11" name="Picture 10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62" y="33665"/>
          <a:ext cx="2446938" cy="749333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9</xdr:col>
      <xdr:colOff>495299</xdr:colOff>
      <xdr:row>54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0.88641</cdr:x>
      <cdr:y>0.30785</cdr:y>
    </cdr:from>
    <cdr:to>
      <cdr:x>0.99084</cdr:x>
      <cdr:y>0.3713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78200" y="1257941"/>
          <a:ext cx="63362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0.88911</cdr:x>
      <cdr:y>0.42729</cdr:y>
    </cdr:from>
    <cdr:to>
      <cdr:x>0.98246</cdr:x>
      <cdr:y>0.49074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94598" y="1745988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0.90167</cdr:x>
      <cdr:y>0.49954</cdr:y>
    </cdr:from>
    <cdr:to>
      <cdr:x>0.99502</cdr:x>
      <cdr:y>0.56299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70798" y="2041229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0.67953</cdr:x>
      <cdr:y>0.03978</cdr:y>
    </cdr:from>
    <cdr:to>
      <cdr:x>0.79028</cdr:x>
      <cdr:y>0.10323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23011" y="162566"/>
          <a:ext cx="671967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0.1771</cdr:y>
    </cdr:from>
    <cdr:to>
      <cdr:x>1</cdr:x>
      <cdr:y>0.24055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26881" y="723687"/>
          <a:ext cx="69126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0.3307</cdr:x>
      <cdr:y>0.03745</cdr:y>
    </cdr:from>
    <cdr:to>
      <cdr:x>0.44621</cdr:x>
      <cdr:y>0.1009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06510" y="153041"/>
          <a:ext cx="70084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0.48235</cdr:x>
      <cdr:y>0.03279</cdr:y>
    </cdr:from>
    <cdr:to>
      <cdr:x>0.60419</cdr:x>
      <cdr:y>0.09624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26618" y="133991"/>
          <a:ext cx="73925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9</xdr:col>
      <xdr:colOff>495299</xdr:colOff>
      <xdr:row>54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0.90168</cdr:x>
      <cdr:y>0.54382</cdr:y>
    </cdr:from>
    <cdr:to>
      <cdr:x>0.98396</cdr:x>
      <cdr:y>0.60727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70859" y="2222167"/>
          <a:ext cx="49922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0.88641</cdr:x>
      <cdr:y>0.30785</cdr:y>
    </cdr:from>
    <cdr:to>
      <cdr:x>0.99084</cdr:x>
      <cdr:y>0.3713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78200" y="1257941"/>
          <a:ext cx="63362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0.88911</cdr:x>
      <cdr:y>0.42729</cdr:y>
    </cdr:from>
    <cdr:to>
      <cdr:x>0.98246</cdr:x>
      <cdr:y>0.49074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94598" y="1745988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0.90167</cdr:x>
      <cdr:y>0.49954</cdr:y>
    </cdr:from>
    <cdr:to>
      <cdr:x>0.99502</cdr:x>
      <cdr:y>0.56299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70798" y="2041229"/>
          <a:ext cx="56639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0.67953</cdr:x>
      <cdr:y>0.03978</cdr:y>
    </cdr:from>
    <cdr:to>
      <cdr:x>0.79028</cdr:x>
      <cdr:y>0.10323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23011" y="162566"/>
          <a:ext cx="671967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0.88607</cdr:x>
      <cdr:y>0.1771</cdr:y>
    </cdr:from>
    <cdr:to>
      <cdr:x>1</cdr:x>
      <cdr:y>0.24055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26881" y="723687"/>
          <a:ext cx="691261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0.3307</cdr:x>
      <cdr:y>0.03745</cdr:y>
    </cdr:from>
    <cdr:to>
      <cdr:x>0.44621</cdr:x>
      <cdr:y>0.1009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06510" y="153041"/>
          <a:ext cx="700848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0.48235</cdr:x>
      <cdr:y>0.03279</cdr:y>
    </cdr:from>
    <cdr:to>
      <cdr:x>0.60419</cdr:x>
      <cdr:y>0.09624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26618" y="133991"/>
          <a:ext cx="739254" cy="259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0.90111</cdr:x>
      <cdr:y>0.49893</cdr:y>
    </cdr:from>
    <cdr:to>
      <cdr:x>0.97706</cdr:x>
      <cdr:y>0.5579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4502" y="1845237"/>
          <a:ext cx="457186" cy="218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0.72446</cdr:x>
      <cdr:y>0.0415</cdr:y>
    </cdr:from>
    <cdr:to>
      <cdr:x>0.82889</cdr:x>
      <cdr:y>0.10495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61101" y="153476"/>
          <a:ext cx="628648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0.88879</cdr:x>
      <cdr:y>0.09926</cdr:y>
    </cdr:from>
    <cdr:to>
      <cdr:x>0.98214</cdr:x>
      <cdr:y>0.16271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0355" y="367098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0.89049</cdr:x>
      <cdr:y>0.39575</cdr:y>
    </cdr:from>
    <cdr:to>
      <cdr:x>0.98384</cdr:x>
      <cdr:y>0.4592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60561" y="1463661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0.37342</cdr:x>
      <cdr:y>0.03565</cdr:y>
    </cdr:from>
    <cdr:to>
      <cdr:x>0.47943</cdr:x>
      <cdr:y>0.10909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47927" y="130751"/>
          <a:ext cx="638148" cy="269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0.55176</cdr:x>
      <cdr:y>0.03712</cdr:y>
    </cdr:from>
    <cdr:to>
      <cdr:x>0.66094</cdr:x>
      <cdr:y>0.1053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21485" y="137278"/>
          <a:ext cx="657243" cy="25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0.13449</cdr:x>
      <cdr:y>0.0435</cdr:y>
    </cdr:from>
    <cdr:to>
      <cdr:x>0.25159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809625" y="159517"/>
          <a:ext cx="704877" cy="212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0.25215</cdr:x>
      <cdr:y>0.03782</cdr:y>
    </cdr:from>
    <cdr:to>
      <cdr:x>0.37082</cdr:x>
      <cdr:y>0.10346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517863" y="139869"/>
          <a:ext cx="714389" cy="242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38100</xdr:rowOff>
    </xdr:from>
    <xdr:to>
      <xdr:col>4</xdr:col>
      <xdr:colOff>199038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0.89779</cdr:x>
      <cdr:y>0.51302</cdr:y>
    </cdr:from>
    <cdr:to>
      <cdr:x>0.97374</cdr:x>
      <cdr:y>0.57199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14228" y="2039778"/>
          <a:ext cx="458025" cy="2344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0.8824</cdr:x>
      <cdr:y>0.1945</cdr:y>
    </cdr:from>
    <cdr:to>
      <cdr:x>0.98683</cdr:x>
      <cdr:y>0.25795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21433" y="773323"/>
          <a:ext cx="629776" cy="252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0.89543</cdr:x>
      <cdr:y>0.32473</cdr:y>
    </cdr:from>
    <cdr:to>
      <cdr:x>0.98878</cdr:x>
      <cdr:y>0.38818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99963" y="1291129"/>
          <a:ext cx="562957" cy="252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0.89447</cdr:x>
      <cdr:y>0.43299</cdr:y>
    </cdr:from>
    <cdr:to>
      <cdr:x>0.98782</cdr:x>
      <cdr:y>0.49644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94206" y="1721582"/>
          <a:ext cx="562957" cy="252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0.53203</cdr:x>
      <cdr:y>0.03162</cdr:y>
    </cdr:from>
    <cdr:to>
      <cdr:x>0.63804</cdr:x>
      <cdr:y>0.10506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208452" y="125737"/>
          <a:ext cx="639304" cy="291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0.78005</cdr:x>
      <cdr:y>0.03718</cdr:y>
    </cdr:from>
    <cdr:to>
      <cdr:x>0.88923</cdr:x>
      <cdr:y>0.10536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95740" y="149460"/>
          <a:ext cx="657242" cy="2740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0.26323</cdr:x>
      <cdr:y>0.03805</cdr:y>
    </cdr:from>
    <cdr:to>
      <cdr:x>0.38033</cdr:x>
      <cdr:y>0.0959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584618" y="152934"/>
          <a:ext cx="704919" cy="232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0.38636</cdr:x>
      <cdr:y>0.0297</cdr:y>
    </cdr:from>
    <cdr:to>
      <cdr:x>0.50503</cdr:x>
      <cdr:y>0.09534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325793" y="119398"/>
          <a:ext cx="714369" cy="2638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596900</xdr:colOff>
      <xdr:row>0</xdr:row>
      <xdr:rowOff>76200</xdr:rowOff>
    </xdr:from>
    <xdr:to>
      <xdr:col>4</xdr:col>
      <xdr:colOff>199038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0.89554</cdr:x>
      <cdr:y>0.5145</cdr:y>
    </cdr:from>
    <cdr:to>
      <cdr:x>0.97148</cdr:x>
      <cdr:y>0.57347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78946" y="2089963"/>
          <a:ext cx="456186" cy="239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0.88242</cdr:x>
      <cdr:y>0.19996</cdr:y>
    </cdr:from>
    <cdr:to>
      <cdr:x>0.98685</cdr:x>
      <cdr:y>0.26341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00179" y="812260"/>
          <a:ext cx="627249" cy="25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0.89437</cdr:x>
      <cdr:y>0.32367</cdr:y>
    </cdr:from>
    <cdr:to>
      <cdr:x>0.98772</cdr:x>
      <cdr:y>0.38712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71919" y="1314777"/>
          <a:ext cx="560698" cy="257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0.88677</cdr:x>
      <cdr:y>0.43239</cdr:y>
    </cdr:from>
    <cdr:to>
      <cdr:x>0.98012</cdr:x>
      <cdr:y>0.49584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26319" y="1756410"/>
          <a:ext cx="560697" cy="25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0.54005</cdr:x>
      <cdr:y>0.0384</cdr:y>
    </cdr:from>
    <cdr:to>
      <cdr:x>0.64606</cdr:x>
      <cdr:y>0.11184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243781" y="155976"/>
          <a:ext cx="636739" cy="298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0.80636</cdr:x>
      <cdr:y>0.03895</cdr:y>
    </cdr:from>
    <cdr:to>
      <cdr:x>0.91554</cdr:x>
      <cdr:y>0.10713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43302" y="158228"/>
          <a:ext cx="655779" cy="276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0.2652</cdr:x>
      <cdr:y>0.04533</cdr:y>
    </cdr:from>
    <cdr:to>
      <cdr:x>0.3823</cdr:x>
      <cdr:y>0.10318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592870" y="184143"/>
          <a:ext cx="703350" cy="234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0.38409</cdr:x>
      <cdr:y>0.04148</cdr:y>
    </cdr:from>
    <cdr:to>
      <cdr:x>0.50276</cdr:x>
      <cdr:y>0.10712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307025" y="168512"/>
          <a:ext cx="712780" cy="266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485900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596900</xdr:colOff>
      <xdr:row>0</xdr:row>
      <xdr:rowOff>76200</xdr:rowOff>
    </xdr:from>
    <xdr:to>
      <xdr:col>4</xdr:col>
      <xdr:colOff>199038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9</xdr:col>
      <xdr:colOff>495299</xdr:colOff>
      <xdr:row>54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0.90051</cdr:x>
      <cdr:y>0.51451</cdr:y>
    </cdr:from>
    <cdr:to>
      <cdr:x>0.98279</cdr:x>
      <cdr:y>0.57796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57999" y="2121278"/>
          <a:ext cx="498701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0.88406</cdr:x>
      <cdr:y>0.19665</cdr:y>
    </cdr:from>
    <cdr:to>
      <cdr:x>0.98849</cdr:x>
      <cdr:y>0.2601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58339" y="810756"/>
          <a:ext cx="632953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0.89263</cdr:x>
      <cdr:y>0.31954</cdr:y>
    </cdr:from>
    <cdr:to>
      <cdr:x>0.98598</cdr:x>
      <cdr:y>0.38299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410244" y="1317413"/>
          <a:ext cx="565797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0.89639</cdr:x>
      <cdr:y>0.44006</cdr:y>
    </cdr:from>
    <cdr:to>
      <cdr:x>0.98974</cdr:x>
      <cdr:y>0.50351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33059" y="1814322"/>
          <a:ext cx="565797" cy="26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0.54583</cdr:x>
      <cdr:y>0.04237</cdr:y>
    </cdr:from>
    <cdr:to>
      <cdr:x>0.65658</cdr:x>
      <cdr:y>0.10582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308314" y="174671"/>
          <a:ext cx="671258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0.76058</cdr:x>
      <cdr:y>0.03486</cdr:y>
    </cdr:from>
    <cdr:to>
      <cdr:x>0.87451</cdr:x>
      <cdr:y>0.09831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09916" y="143738"/>
          <a:ext cx="690533" cy="26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2000cP</a:t>
          </a:r>
        </a:p>
      </cdr:txBody>
    </cdr:sp>
  </cdr:relSizeAnchor>
  <cdr:relSizeAnchor xmlns:cdr="http://schemas.openxmlformats.org/drawingml/2006/chartDrawing">
    <cdr:from>
      <cdr:x>0.2791</cdr:x>
      <cdr:y>0.04004</cdr:y>
    </cdr:from>
    <cdr:to>
      <cdr:x>0.39461</cdr:x>
      <cdr:y>0.10349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691620" y="165065"/>
          <a:ext cx="700109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20000cP</a:t>
          </a:r>
        </a:p>
      </cdr:txBody>
    </cdr:sp>
  </cdr:relSizeAnchor>
  <cdr:relSizeAnchor xmlns:cdr="http://schemas.openxmlformats.org/drawingml/2006/chartDrawing">
    <cdr:from>
      <cdr:x>0.40377</cdr:x>
      <cdr:y>0.03882</cdr:y>
    </cdr:from>
    <cdr:to>
      <cdr:x>0.52561</cdr:x>
      <cdr:y>0.10227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447286" y="160069"/>
          <a:ext cx="738476" cy="261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10000cP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571500</xdr:colOff>
      <xdr:row>0</xdr:row>
      <xdr:rowOff>63500</xdr:rowOff>
    </xdr:from>
    <xdr:to>
      <xdr:col>4</xdr:col>
      <xdr:colOff>173638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38100</xdr:rowOff>
    </xdr:from>
    <xdr:to>
      <xdr:col>4</xdr:col>
      <xdr:colOff>199038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0.89402</cdr:x>
      <cdr:y>0.50419</cdr:y>
    </cdr:from>
    <cdr:to>
      <cdr:x>0.96997</cdr:x>
      <cdr:y>0.56316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76088" y="2045099"/>
          <a:ext cx="456718" cy="2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0.87399</cdr:x>
      <cdr:y>0.16855</cdr:y>
    </cdr:from>
    <cdr:to>
      <cdr:x>0.97842</cdr:x>
      <cdr:y>0.232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55659" y="683678"/>
          <a:ext cx="627980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0.87992</cdr:x>
      <cdr:y>0.3113</cdr:y>
    </cdr:from>
    <cdr:to>
      <cdr:x>0.97327</cdr:x>
      <cdr:y>0.37475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91340" y="1262714"/>
          <a:ext cx="561352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0.88694</cdr:x>
      <cdr:y>0.43606</cdr:y>
    </cdr:from>
    <cdr:to>
      <cdr:x>0.98029</cdr:x>
      <cdr:y>0.49951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33550" y="1768741"/>
          <a:ext cx="561351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0.49576</cdr:x>
      <cdr:y>0.03828</cdr:y>
    </cdr:from>
    <cdr:to>
      <cdr:x>0.60177</cdr:x>
      <cdr:y>0.11172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981224" y="155267"/>
          <a:ext cx="637481" cy="29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0.74384</cdr:x>
      <cdr:y>0.03975</cdr:y>
    </cdr:from>
    <cdr:to>
      <cdr:x>0.85302</cdr:x>
      <cdr:y>0.10793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73039" y="161230"/>
          <a:ext cx="656544" cy="276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0.21901</cdr:x>
      <cdr:y>0.04613</cdr:y>
    </cdr:from>
    <cdr:to>
      <cdr:x>0.33611</cdr:x>
      <cdr:y>0.10398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316980" y="187108"/>
          <a:ext cx="704169" cy="234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0.34021</cdr:x>
      <cdr:y>0.04045</cdr:y>
    </cdr:from>
    <cdr:to>
      <cdr:x>0.45888</cdr:x>
      <cdr:y>0.10609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45842" y="164069"/>
          <a:ext cx="713610" cy="26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571500</xdr:colOff>
      <xdr:row>0</xdr:row>
      <xdr:rowOff>76200</xdr:rowOff>
    </xdr:from>
    <xdr:to>
      <xdr:col>4</xdr:col>
      <xdr:colOff>173638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0.89226</cdr:x>
      <cdr:y>0.50633</cdr:y>
    </cdr:from>
    <cdr:to>
      <cdr:x>0.96821</cdr:x>
      <cdr:y>0.5653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73917" y="2049803"/>
          <a:ext cx="457431" cy="238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0.88261</cdr:x>
      <cdr:y>0.16984</cdr:y>
    </cdr:from>
    <cdr:to>
      <cdr:x>0.98704</cdr:x>
      <cdr:y>0.23329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15776" y="687551"/>
          <a:ext cx="628960" cy="25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0.88713</cdr:x>
      <cdr:y>0.30986</cdr:y>
    </cdr:from>
    <cdr:to>
      <cdr:x>0.98048</cdr:x>
      <cdr:y>0.37331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3011" y="1254424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0.8833</cdr:x>
      <cdr:y>0.43195</cdr:y>
    </cdr:from>
    <cdr:to>
      <cdr:x>0.97665</cdr:x>
      <cdr:y>0.4954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19945" y="1748662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0.49729</cdr:x>
      <cdr:y>0.04141</cdr:y>
    </cdr:from>
    <cdr:to>
      <cdr:x>0.6033</cdr:x>
      <cdr:y>0.11485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995047" y="167635"/>
          <a:ext cx="638477" cy="297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0.73479</cdr:x>
      <cdr:y>0.04041</cdr:y>
    </cdr:from>
    <cdr:to>
      <cdr:x>0.84397</cdr:x>
      <cdr:y>0.10859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25507" y="163596"/>
          <a:ext cx="657569" cy="276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0.22186</cdr:x>
      <cdr:y>0.04515</cdr:y>
    </cdr:from>
    <cdr:to>
      <cdr:x>0.33896</cdr:x>
      <cdr:y>0.103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336212" y="182763"/>
          <a:ext cx="705269" cy="234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0.34394</cdr:x>
      <cdr:y>0.04111</cdr:y>
    </cdr:from>
    <cdr:to>
      <cdr:x>0.46261</cdr:x>
      <cdr:y>0.10675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1497" y="166429"/>
          <a:ext cx="714726" cy="265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0.88782</cdr:x>
      <cdr:y>0.50922</cdr:y>
    </cdr:from>
    <cdr:to>
      <cdr:x>0.96377</cdr:x>
      <cdr:y>0.56819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41728" y="2064117"/>
          <a:ext cx="456967" cy="239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0.88393</cdr:x>
      <cdr:y>0.17614</cdr:y>
    </cdr:from>
    <cdr:to>
      <cdr:x>0.98836</cdr:x>
      <cdr:y>0.23959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18290" y="713995"/>
          <a:ext cx="628321" cy="257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0.88763</cdr:x>
      <cdr:y>0.31366</cdr:y>
    </cdr:from>
    <cdr:to>
      <cdr:x>0.98098</cdr:x>
      <cdr:y>0.37711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40604" y="1271417"/>
          <a:ext cx="561656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0.88645</cdr:x>
      <cdr:y>0.43434</cdr:y>
    </cdr:from>
    <cdr:to>
      <cdr:x>0.9798</cdr:x>
      <cdr:y>0.49779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33451" y="1760596"/>
          <a:ext cx="561657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0.51209</cdr:x>
      <cdr:y>0.04165</cdr:y>
    </cdr:from>
    <cdr:to>
      <cdr:x>0.6181</cdr:x>
      <cdr:y>0.11509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81052" y="168839"/>
          <a:ext cx="637828" cy="297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0.73087</cdr:x>
      <cdr:y>0.03884</cdr:y>
    </cdr:from>
    <cdr:to>
      <cdr:x>0.84005</cdr:x>
      <cdr:y>0.10702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97404" y="157417"/>
          <a:ext cx="656901" cy="276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0.21249</cdr:x>
      <cdr:y>0.0435</cdr:y>
    </cdr:from>
    <cdr:to>
      <cdr:x>0.32959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278479" y="176326"/>
          <a:ext cx="704552" cy="234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0.33824</cdr:x>
      <cdr:y>0.03868</cdr:y>
    </cdr:from>
    <cdr:to>
      <cdr:x>0.45691</cdr:x>
      <cdr:y>0.10432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35070" y="156779"/>
          <a:ext cx="713998" cy="26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0.87794</cdr:x>
      <cdr:y>0.54932</cdr:y>
    </cdr:from>
    <cdr:to>
      <cdr:x>0.95389</cdr:x>
      <cdr:y>0.60829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85029" y="2225195"/>
          <a:ext cx="457204" cy="23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0.8776</cdr:x>
      <cdr:y>0.31695</cdr:y>
    </cdr:from>
    <cdr:to>
      <cdr:x>0.98203</cdr:x>
      <cdr:y>0.3804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82987" y="1283896"/>
          <a:ext cx="6286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0.88144</cdr:x>
      <cdr:y>0.43013</cdr:y>
    </cdr:from>
    <cdr:to>
      <cdr:x>0.97479</cdr:x>
      <cdr:y>0.49358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06115" y="1742391"/>
          <a:ext cx="5619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0.87975</cdr:x>
      <cdr:y>0.50996</cdr:y>
    </cdr:from>
    <cdr:to>
      <cdr:x>0.9731</cdr:x>
      <cdr:y>0.57341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95938" y="2065765"/>
          <a:ext cx="561948" cy="257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0.6944</cdr:x>
      <cdr:y>0.04138</cdr:y>
    </cdr:from>
    <cdr:to>
      <cdr:x>0.80041</cdr:x>
      <cdr:y>0.11482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80129" y="166324"/>
          <a:ext cx="638159" cy="295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0.87217</cdr:x>
      <cdr:y>0.19164</cdr:y>
    </cdr:from>
    <cdr:to>
      <cdr:x>0.98135</cdr:x>
      <cdr:y>0.25982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50297" y="776296"/>
          <a:ext cx="657242" cy="276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0.34064</cdr:x>
      <cdr:y>0.04395</cdr:y>
    </cdr:from>
    <cdr:to>
      <cdr:x>0.45774</cdr:x>
      <cdr:y>0.1018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50575" y="176655"/>
          <a:ext cx="704918" cy="232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0.50023</cdr:x>
      <cdr:y>0.04286</cdr:y>
    </cdr:from>
    <cdr:to>
      <cdr:x>0.6189</cdr:x>
      <cdr:y>0.1085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011277" y="173614"/>
          <a:ext cx="714369" cy="265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57150</xdr:rowOff>
    </xdr:from>
    <xdr:to>
      <xdr:col>9</xdr:col>
      <xdr:colOff>523875</xdr:colOff>
      <xdr:row>54</xdr:row>
      <xdr:rowOff>19049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0.87844</cdr:x>
      <cdr:y>0.54829</cdr:y>
    </cdr:from>
    <cdr:to>
      <cdr:x>0.95439</cdr:x>
      <cdr:y>0.60726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90656" y="2219654"/>
          <a:ext cx="457431" cy="238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0.87708</cdr:x>
      <cdr:y>0.32038</cdr:y>
    </cdr:from>
    <cdr:to>
      <cdr:x>0.98151</cdr:x>
      <cdr:y>0.38383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82471" y="1297017"/>
          <a:ext cx="628960" cy="25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0.87773</cdr:x>
      <cdr:y>0.42586</cdr:y>
    </cdr:from>
    <cdr:to>
      <cdr:x>0.97108</cdr:x>
      <cdr:y>0.48931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86394" y="1724013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0.87943</cdr:x>
      <cdr:y>0.50352</cdr:y>
    </cdr:from>
    <cdr:to>
      <cdr:x>0.97278</cdr:x>
      <cdr:y>0.56697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96632" y="2038410"/>
          <a:ext cx="562228" cy="256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0.69691</cdr:x>
      <cdr:y>0.03647</cdr:y>
    </cdr:from>
    <cdr:to>
      <cdr:x>0.80292</cdr:x>
      <cdr:y>0.10991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197328" y="147653"/>
          <a:ext cx="638477" cy="297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0.87193</cdr:x>
      <cdr:y>0.19589</cdr:y>
    </cdr:from>
    <cdr:to>
      <cdr:x>0.98111</cdr:x>
      <cdr:y>0.26407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51451" y="793045"/>
          <a:ext cx="657569" cy="276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0.34075</cdr:x>
      <cdr:y>0.04679</cdr:y>
    </cdr:from>
    <cdr:to>
      <cdr:x>0.45785</cdr:x>
      <cdr:y>0.10464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52252" y="189423"/>
          <a:ext cx="705269" cy="234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0.5043</cdr:x>
      <cdr:y>0.04193</cdr:y>
    </cdr:from>
    <cdr:to>
      <cdr:x>0.62297</cdr:x>
      <cdr:y>0.10757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037320" y="169760"/>
          <a:ext cx="714726" cy="265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29</xdr:row>
      <xdr:rowOff>9525</xdr:rowOff>
    </xdr:from>
    <xdr:to>
      <xdr:col>9</xdr:col>
      <xdr:colOff>495300</xdr:colOff>
      <xdr:row>53</xdr:row>
      <xdr:rowOff>133349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596900</xdr:colOff>
      <xdr:row>0</xdr:row>
      <xdr:rowOff>25400</xdr:rowOff>
    </xdr:from>
    <xdr:to>
      <xdr:col>4</xdr:col>
      <xdr:colOff>199038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0.88161</cdr:x>
      <cdr:y>0.54977</cdr:y>
    </cdr:from>
    <cdr:to>
      <cdr:x>0.95756</cdr:x>
      <cdr:y>0.60874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01452" y="2229132"/>
          <a:ext cx="456718" cy="239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0.87576</cdr:x>
      <cdr:y>0.31586</cdr:y>
    </cdr:from>
    <cdr:to>
      <cdr:x>0.98019</cdr:x>
      <cdr:y>0.37931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66320" y="1280704"/>
          <a:ext cx="627980" cy="257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0.88052</cdr:x>
      <cdr:y>0.42884</cdr:y>
    </cdr:from>
    <cdr:to>
      <cdr:x>0.97387</cdr:x>
      <cdr:y>0.49229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94894" y="1738809"/>
          <a:ext cx="561352" cy="257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0.88222</cdr:x>
      <cdr:y>0.50181</cdr:y>
    </cdr:from>
    <cdr:to>
      <cdr:x>0.97557</cdr:x>
      <cdr:y>0.56526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05118" y="2034680"/>
          <a:ext cx="561351" cy="257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0.67839</cdr:x>
      <cdr:y>0.04091</cdr:y>
    </cdr:from>
    <cdr:to>
      <cdr:x>0.7844</cdr:x>
      <cdr:y>0.11435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079443" y="165873"/>
          <a:ext cx="637481" cy="297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0.8721</cdr:x>
      <cdr:y>0.19402</cdr:y>
    </cdr:from>
    <cdr:to>
      <cdr:x>0.98128</cdr:x>
      <cdr:y>0.2622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44280" y="786694"/>
          <a:ext cx="656544" cy="276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0.34726</cdr:x>
      <cdr:y>0.04525</cdr:y>
    </cdr:from>
    <cdr:to>
      <cdr:x>0.46436</cdr:x>
      <cdr:y>0.1031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88221" y="183486"/>
          <a:ext cx="704169" cy="23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0.48502</cdr:x>
      <cdr:y>0.04133</cdr:y>
    </cdr:from>
    <cdr:to>
      <cdr:x>0.60369</cdr:x>
      <cdr:y>0.10697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916597" y="167564"/>
          <a:ext cx="713610" cy="266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571500</xdr:colOff>
      <xdr:row>0</xdr:row>
      <xdr:rowOff>63500</xdr:rowOff>
    </xdr:from>
    <xdr:to>
      <xdr:col>4</xdr:col>
      <xdr:colOff>173638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38100</xdr:rowOff>
    </xdr:from>
    <xdr:to>
      <xdr:col>4</xdr:col>
      <xdr:colOff>211738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0.8984</cdr:x>
      <cdr:y>0.44093</cdr:y>
    </cdr:from>
    <cdr:to>
      <cdr:x>0.97435</cdr:x>
      <cdr:y>0.4999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13483" y="1785388"/>
          <a:ext cx="457650" cy="238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0.88199</cdr:x>
      <cdr:y>0.18409</cdr:y>
    </cdr:from>
    <cdr:to>
      <cdr:x>0.98642</cdr:x>
      <cdr:y>0.24754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14596" y="745412"/>
          <a:ext cx="629261" cy="256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0.89041</cdr:x>
      <cdr:y>0.30066</cdr:y>
    </cdr:from>
    <cdr:to>
      <cdr:x>0.98376</cdr:x>
      <cdr:y>0.36411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65343" y="1217417"/>
          <a:ext cx="562496" cy="256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0.89049</cdr:x>
      <cdr:y>0.39575</cdr:y>
    </cdr:from>
    <cdr:to>
      <cdr:x>0.98384</cdr:x>
      <cdr:y>0.4592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60561" y="1463661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0.5093</cdr:x>
      <cdr:y>0.03887</cdr:y>
    </cdr:from>
    <cdr:to>
      <cdr:x>0.61531</cdr:x>
      <cdr:y>0.11231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68865" y="157401"/>
          <a:ext cx="638782" cy="297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0.74394</cdr:x>
      <cdr:y>0.04034</cdr:y>
    </cdr:from>
    <cdr:to>
      <cdr:x>0.85312</cdr:x>
      <cdr:y>0.10852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82730" y="163353"/>
          <a:ext cx="657883" cy="276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0.2184</cdr:x>
      <cdr:y>0.04511</cdr:y>
    </cdr:from>
    <cdr:to>
      <cdr:x>0.3355</cdr:x>
      <cdr:y>0.10296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316001" y="182663"/>
          <a:ext cx="705606" cy="234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0.34634</cdr:x>
      <cdr:y>0.03701</cdr:y>
    </cdr:from>
    <cdr:to>
      <cdr:x>0.46501</cdr:x>
      <cdr:y>0.10265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86959" y="149878"/>
          <a:ext cx="715067" cy="26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0.90111</cdr:x>
      <cdr:y>0.49893</cdr:y>
    </cdr:from>
    <cdr:to>
      <cdr:x>0.97706</cdr:x>
      <cdr:y>0.5579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4502" y="1845237"/>
          <a:ext cx="457186" cy="218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0.72446</cdr:x>
      <cdr:y>0.0415</cdr:y>
    </cdr:from>
    <cdr:to>
      <cdr:x>0.82889</cdr:x>
      <cdr:y>0.10495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61101" y="153476"/>
          <a:ext cx="628648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0.88879</cdr:x>
      <cdr:y>0.09926</cdr:y>
    </cdr:from>
    <cdr:to>
      <cdr:x>0.98214</cdr:x>
      <cdr:y>0.16271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50355" y="367098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0.89049</cdr:x>
      <cdr:y>0.39575</cdr:y>
    </cdr:from>
    <cdr:to>
      <cdr:x>0.98384</cdr:x>
      <cdr:y>0.4592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60561" y="1463661"/>
          <a:ext cx="561949" cy="23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0.37342</cdr:x>
      <cdr:y>0.03565</cdr:y>
    </cdr:from>
    <cdr:to>
      <cdr:x>0.47943</cdr:x>
      <cdr:y>0.10909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47927" y="130751"/>
          <a:ext cx="638148" cy="269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0.55176</cdr:x>
      <cdr:y>0.03712</cdr:y>
    </cdr:from>
    <cdr:to>
      <cdr:x>0.66094</cdr:x>
      <cdr:y>0.1053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21485" y="137278"/>
          <a:ext cx="657243" cy="25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0.13449</cdr:x>
      <cdr:y>0.0435</cdr:y>
    </cdr:from>
    <cdr:to>
      <cdr:x>0.25159</cdr:x>
      <cdr:y>0.10135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809625" y="159517"/>
          <a:ext cx="704877" cy="212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0.25215</cdr:x>
      <cdr:y>0.03782</cdr:y>
    </cdr:from>
    <cdr:to>
      <cdr:x>0.37082</cdr:x>
      <cdr:y>0.10346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517863" y="139869"/>
          <a:ext cx="714389" cy="242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66675</xdr:rowOff>
    </xdr:from>
    <xdr:to>
      <xdr:col>9</xdr:col>
      <xdr:colOff>523875</xdr:colOff>
      <xdr:row>54</xdr:row>
      <xdr:rowOff>28574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0.90407</cdr:x>
      <cdr:y>0.45775</cdr:y>
    </cdr:from>
    <cdr:to>
      <cdr:x>0.98002</cdr:x>
      <cdr:y>0.51672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36509" y="1856731"/>
          <a:ext cx="456718" cy="2391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0.87635</cdr:x>
      <cdr:y>0.18082</cdr:y>
    </cdr:from>
    <cdr:to>
      <cdr:x>0.98078</cdr:x>
      <cdr:y>0.24427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69875" y="733435"/>
          <a:ext cx="627980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0.88524</cdr:x>
      <cdr:y>0.30605</cdr:y>
    </cdr:from>
    <cdr:to>
      <cdr:x>0.97859</cdr:x>
      <cdr:y>0.3695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23327" y="1241389"/>
          <a:ext cx="561352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0.8899</cdr:x>
      <cdr:y>0.40977</cdr:y>
    </cdr:from>
    <cdr:to>
      <cdr:x>0.98325</cdr:x>
      <cdr:y>0.47322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51321" y="1662118"/>
          <a:ext cx="561351" cy="257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0.51468</cdr:x>
      <cdr:y>0.04178</cdr:y>
    </cdr:from>
    <cdr:to>
      <cdr:x>0.62069</cdr:x>
      <cdr:y>0.11522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94956" y="169484"/>
          <a:ext cx="637481" cy="297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0.74148</cdr:x>
      <cdr:y>0.0415</cdr:y>
    </cdr:from>
    <cdr:to>
      <cdr:x>0.85066</cdr:x>
      <cdr:y>0.10968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58823" y="168337"/>
          <a:ext cx="656544" cy="276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0.19891</cdr:x>
      <cdr:y>0.04788</cdr:y>
    </cdr:from>
    <cdr:to>
      <cdr:x>0.31601</cdr:x>
      <cdr:y>0.10573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196140" y="194217"/>
          <a:ext cx="704169" cy="234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0.3414</cdr:x>
      <cdr:y>0.03782</cdr:y>
    </cdr:from>
    <cdr:to>
      <cdr:x>0.46007</cdr:x>
      <cdr:y>0.10346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52950" y="153407"/>
          <a:ext cx="713610" cy="26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63500</xdr:rowOff>
    </xdr:from>
    <xdr:to>
      <xdr:col>4</xdr:col>
      <xdr:colOff>186338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9</xdr:col>
      <xdr:colOff>447675</xdr:colOff>
      <xdr:row>53</xdr:row>
      <xdr:rowOff>123824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584200</xdr:colOff>
      <xdr:row>0</xdr:row>
      <xdr:rowOff>25400</xdr:rowOff>
    </xdr:from>
    <xdr:to>
      <xdr:col>4</xdr:col>
      <xdr:colOff>186338</xdr:colOff>
      <xdr:row>5</xdr:row>
      <xdr:rowOff>12733</xdr:rowOff>
    </xdr:to>
    <xdr:pic>
      <xdr:nvPicPr>
        <xdr:cNvPr id="10" name="Picture 9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0.90321</cdr:x>
      <cdr:y>0.45657</cdr:y>
    </cdr:from>
    <cdr:to>
      <cdr:x>0.97916</cdr:x>
      <cdr:y>0.51554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0564" y="1817250"/>
          <a:ext cx="457492" cy="234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0.87979</cdr:x>
      <cdr:y>0.17598</cdr:y>
    </cdr:from>
    <cdr:to>
      <cdr:x>0.98422</cdr:x>
      <cdr:y>0.23943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299494" y="700432"/>
          <a:ext cx="629044" cy="252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0.88389</cdr:x>
      <cdr:y>0.29304</cdr:y>
    </cdr:from>
    <cdr:to>
      <cdr:x>0.97724</cdr:x>
      <cdr:y>0.35649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24207" y="1166345"/>
          <a:ext cx="562303" cy="2525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0.88979</cdr:x>
      <cdr:y>0.40422</cdr:y>
    </cdr:from>
    <cdr:to>
      <cdr:x>0.98314</cdr:x>
      <cdr:y>0.46767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59734" y="1608875"/>
          <a:ext cx="562303" cy="2525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0.51336</cdr:x>
      <cdr:y>0.04094</cdr:y>
    </cdr:from>
    <cdr:to>
      <cdr:x>0.61937</cdr:x>
      <cdr:y>0.11438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92250" y="162967"/>
          <a:ext cx="638561" cy="292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0.74697</cdr:x>
      <cdr:y>0.04136</cdr:y>
    </cdr:from>
    <cdr:to>
      <cdr:x>0.85615</cdr:x>
      <cdr:y>0.10954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99452" y="164603"/>
          <a:ext cx="657656" cy="271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0.20796</cdr:x>
      <cdr:y>0.04985</cdr:y>
    </cdr:from>
    <cdr:to>
      <cdr:x>0.32506</cdr:x>
      <cdr:y>0.1077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252646" y="198426"/>
          <a:ext cx="705363" cy="230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0.34591</cdr:x>
      <cdr:y>0.041</cdr:y>
    </cdr:from>
    <cdr:to>
      <cdr:x>0.46458</cdr:x>
      <cdr:y>0.10664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83606" y="163174"/>
          <a:ext cx="714820" cy="261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571500</xdr:colOff>
      <xdr:row>0</xdr:row>
      <xdr:rowOff>63500</xdr:rowOff>
    </xdr:from>
    <xdr:to>
      <xdr:col>4</xdr:col>
      <xdr:colOff>173638</xdr:colOff>
      <xdr:row>5</xdr:row>
      <xdr:rowOff>25433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3500"/>
          <a:ext cx="2446938" cy="749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38100</xdr:rowOff>
    </xdr:from>
    <xdr:to>
      <xdr:col>4</xdr:col>
      <xdr:colOff>211738</xdr:colOff>
      <xdr:row>5</xdr:row>
      <xdr:rowOff>25433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"/>
          <a:ext cx="2446938" cy="74933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0.89809</cdr:x>
      <cdr:y>0.5455</cdr:y>
    </cdr:from>
    <cdr:to>
      <cdr:x>0.97404</cdr:x>
      <cdr:y>0.60447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7479" y="2214254"/>
          <a:ext cx="456458" cy="23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0.889</cdr:x>
      <cdr:y>0.40423</cdr:y>
    </cdr:from>
    <cdr:to>
      <cdr:x>0.99343</cdr:x>
      <cdr:y>0.46768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42848" y="1640829"/>
          <a:ext cx="627623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0.89665</cdr:x>
      <cdr:y>0.44498</cdr:y>
    </cdr:from>
    <cdr:to>
      <cdr:x>0.99</cdr:x>
      <cdr:y>0.50843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88876" y="1806208"/>
          <a:ext cx="561032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0.89351</cdr:x>
      <cdr:y>0.50681</cdr:y>
    </cdr:from>
    <cdr:to>
      <cdr:x>0.98686</cdr:x>
      <cdr:y>0.57026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0008" y="2057192"/>
          <a:ext cx="561032" cy="25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0.87852</cdr:x>
      <cdr:y>0.08043</cdr:y>
    </cdr:from>
    <cdr:to>
      <cdr:x>0.98453</cdr:x>
      <cdr:y>0.15387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79888" y="326481"/>
          <a:ext cx="637119" cy="298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0.88386</cdr:x>
      <cdr:y>0.31208</cdr:y>
    </cdr:from>
    <cdr:to>
      <cdr:x>0.99304</cdr:x>
      <cdr:y>0.38026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11957" y="1266771"/>
          <a:ext cx="656170" cy="276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0.43573</cdr:x>
      <cdr:y>0.05604</cdr:y>
    </cdr:from>
    <cdr:to>
      <cdr:x>0.55283</cdr:x>
      <cdr:y>0.11389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618760" y="227468"/>
          <a:ext cx="703769" cy="2348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0.62296</cdr:x>
      <cdr:y>0.04678</cdr:y>
    </cdr:from>
    <cdr:to>
      <cdr:x>0.74163</cdr:x>
      <cdr:y>0.11242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743976" y="189870"/>
          <a:ext cx="713205" cy="266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0.00403</cdr:x>
      <cdr:y>0.00627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0.86462</cdr:x>
      <cdr:y>0.22049</cdr:y>
    </cdr:from>
    <cdr:to>
      <cdr:x>0.97959</cdr:x>
      <cdr:y>0.29153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5229225" y="857250"/>
          <a:ext cx="695325" cy="2762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GB" sz="1100"/>
            <a:t>bar / psi</a:t>
          </a:r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0</xdr:rowOff>
    </xdr:from>
    <xdr:to>
      <xdr:col>9</xdr:col>
      <xdr:colOff>533025</xdr:colOff>
      <xdr:row>28</xdr:row>
      <xdr:rowOff>1800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557514</xdr:colOff>
      <xdr:row>27</xdr:row>
      <xdr:rowOff>91740</xdr:rowOff>
    </xdr:from>
    <xdr:to>
      <xdr:col>1</xdr:col>
      <xdr:colOff>547988</xdr:colOff>
      <xdr:row>27</xdr:row>
      <xdr:rowOff>91740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57514" y="4463715"/>
          <a:ext cx="609599" cy="0"/>
        </a:xfrm>
        <a:prstGeom prst="line">
          <a:avLst/>
        </a:prstGeom>
        <a:noFill/>
        <a:ln w="19050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557514</xdr:colOff>
      <xdr:row>28</xdr:row>
      <xdr:rowOff>91740</xdr:rowOff>
    </xdr:from>
    <xdr:to>
      <xdr:col>1</xdr:col>
      <xdr:colOff>547988</xdr:colOff>
      <xdr:row>28</xdr:row>
      <xdr:rowOff>91740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57514" y="4625640"/>
          <a:ext cx="609599" cy="0"/>
        </a:xfrm>
        <a:prstGeom prst="line">
          <a:avLst/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500364</xdr:colOff>
      <xdr:row>27</xdr:row>
      <xdr:rowOff>82215</xdr:rowOff>
    </xdr:from>
    <xdr:to>
      <xdr:col>5</xdr:col>
      <xdr:colOff>490838</xdr:colOff>
      <xdr:row>27</xdr:row>
      <xdr:rowOff>82215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2976864" y="4454190"/>
          <a:ext cx="609599" cy="0"/>
        </a:xfrm>
        <a:prstGeom prst="line">
          <a:avLst/>
        </a:prstGeom>
        <a:noFill/>
        <a:ln w="19050">
          <a:solidFill>
            <a:srgbClr val="FF00FF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385098</xdr:colOff>
      <xdr:row>28</xdr:row>
      <xdr:rowOff>19037</xdr:rowOff>
    </xdr:from>
    <xdr:to>
      <xdr:col>5</xdr:col>
      <xdr:colOff>499398</xdr:colOff>
      <xdr:row>28</xdr:row>
      <xdr:rowOff>133337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3480723" y="4552937"/>
          <a:ext cx="114300" cy="114300"/>
        </a:xfrm>
        <a:prstGeom prst="diamond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29</xdr:row>
      <xdr:rowOff>76201</xdr:rowOff>
    </xdr:from>
    <xdr:to>
      <xdr:col>9</xdr:col>
      <xdr:colOff>523875</xdr:colOff>
      <xdr:row>54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25400</xdr:rowOff>
    </xdr:from>
    <xdr:to>
      <xdr:col>4</xdr:col>
      <xdr:colOff>211738</xdr:colOff>
      <xdr:row>5</xdr:row>
      <xdr:rowOff>12733</xdr:rowOff>
    </xdr:to>
    <xdr:pic>
      <xdr:nvPicPr>
        <xdr:cNvPr id="9" name="Picture 8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400"/>
          <a:ext cx="2446938" cy="749333"/>
        </a:xfrm>
        <a:prstGeom prst="rect">
          <a:avLst/>
        </a:prstGeom>
      </xdr:spPr>
    </xdr:pic>
    <xdr:clientData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0.89707</cdr:x>
      <cdr:y>0.5521</cdr:y>
    </cdr:from>
    <cdr:to>
      <cdr:x>0.97302</cdr:x>
      <cdr:y>0.61107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7348" y="2237932"/>
          <a:ext cx="456967" cy="2390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1cP</a:t>
          </a:r>
        </a:p>
      </cdr:txBody>
    </cdr:sp>
  </cdr:relSizeAnchor>
  <cdr:relSizeAnchor xmlns:cdr="http://schemas.openxmlformats.org/drawingml/2006/chartDrawing">
    <cdr:from>
      <cdr:x>0.88508</cdr:x>
      <cdr:y>0.39655</cdr:y>
    </cdr:from>
    <cdr:to>
      <cdr:x>0.98951</cdr:x>
      <cdr:y>0.46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325242" y="1607398"/>
          <a:ext cx="628321" cy="257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1000cP</a:t>
          </a:r>
        </a:p>
      </cdr:txBody>
    </cdr:sp>
  </cdr:relSizeAnchor>
  <cdr:relSizeAnchor xmlns:cdr="http://schemas.openxmlformats.org/drawingml/2006/chartDrawing">
    <cdr:from>
      <cdr:x>0.89399</cdr:x>
      <cdr:y>0.45002</cdr:y>
    </cdr:from>
    <cdr:to>
      <cdr:x>0.98734</cdr:x>
      <cdr:y>0.51347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78844" y="1824145"/>
          <a:ext cx="561656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500cP</a:t>
          </a:r>
        </a:p>
      </cdr:txBody>
    </cdr:sp>
  </cdr:relSizeAnchor>
  <cdr:relSizeAnchor xmlns:cdr="http://schemas.openxmlformats.org/drawingml/2006/chartDrawing">
    <cdr:from>
      <cdr:x>0.8928</cdr:x>
      <cdr:y>0.51496</cdr:y>
    </cdr:from>
    <cdr:to>
      <cdr:x>0.98615</cdr:x>
      <cdr:y>0.57841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1690" y="2087366"/>
          <a:ext cx="561657" cy="257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100cP</a:t>
          </a:r>
        </a:p>
      </cdr:txBody>
    </cdr:sp>
  </cdr:relSizeAnchor>
  <cdr:relSizeAnchor xmlns:cdr="http://schemas.openxmlformats.org/drawingml/2006/chartDrawing">
    <cdr:from>
      <cdr:x>0.87666</cdr:x>
      <cdr:y>0.08368</cdr:y>
    </cdr:from>
    <cdr:to>
      <cdr:x>0.98267</cdr:x>
      <cdr:y>0.15712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74582" y="339177"/>
          <a:ext cx="637828" cy="297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5000cP</a:t>
          </a:r>
        </a:p>
      </cdr:txBody>
    </cdr:sp>
  </cdr:relSizeAnchor>
  <cdr:relSizeAnchor xmlns:cdr="http://schemas.openxmlformats.org/drawingml/2006/chartDrawing">
    <cdr:from>
      <cdr:x>0.88167</cdr:x>
      <cdr:y>0.3107</cdr:y>
    </cdr:from>
    <cdr:to>
      <cdr:x>0.99085</cdr:x>
      <cdr:y>0.37888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04712" y="1259397"/>
          <a:ext cx="656901" cy="276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000cP</a:t>
          </a:r>
        </a:p>
      </cdr:txBody>
    </cdr:sp>
  </cdr:relSizeAnchor>
  <cdr:relSizeAnchor xmlns:cdr="http://schemas.openxmlformats.org/drawingml/2006/chartDrawing">
    <cdr:from>
      <cdr:x>0.44475</cdr:x>
      <cdr:y>0.04264</cdr:y>
    </cdr:from>
    <cdr:to>
      <cdr:x>0.56185</cdr:x>
      <cdr:y>0.10049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675943" y="172850"/>
          <a:ext cx="704552" cy="234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2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  <cdr:relSizeAnchor xmlns:cdr="http://schemas.openxmlformats.org/drawingml/2006/chartDrawing">
    <cdr:from>
      <cdr:x>0.63059</cdr:x>
      <cdr:y>0.03868</cdr:y>
    </cdr:from>
    <cdr:to>
      <cdr:x>0.74926</cdr:x>
      <cdr:y>0.10432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794065" y="156779"/>
          <a:ext cx="713998" cy="26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1</a:t>
          </a:r>
          <a:r>
            <a:rPr lang="en-GB" sz="1000" b="1">
              <a:latin typeface="Arial" pitchFamily="34" charset="0"/>
              <a:ea typeface="+mn-ea"/>
              <a:cs typeface="Arial" pitchFamily="34" charset="0"/>
            </a:rPr>
            <a:t>0000cP</a:t>
          </a:r>
        </a:p>
      </cdr:txBody>
    </cdr: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142875</xdr:rowOff>
    </xdr:from>
    <xdr:to>
      <xdr:col>9</xdr:col>
      <xdr:colOff>533026</xdr:colOff>
      <xdr:row>27</xdr:row>
      <xdr:rowOff>135150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142874</xdr:rowOff>
    </xdr:from>
    <xdr:to>
      <xdr:col>9</xdr:col>
      <xdr:colOff>571124</xdr:colOff>
      <xdr:row>51</xdr:row>
      <xdr:rowOff>144674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333375</xdr:colOff>
      <xdr:row>9</xdr:row>
      <xdr:rowOff>19050</xdr:rowOff>
    </xdr:from>
    <xdr:to>
      <xdr:col>9</xdr:col>
      <xdr:colOff>409575</xdr:colOff>
      <xdr:row>10</xdr:row>
      <xdr:rowOff>133350</xdr:rowOff>
    </xdr:to>
    <xdr:sp macro="" textlink="">
      <xdr:nvSpPr>
        <xdr:cNvPr id="5" name="TextBox 4"/>
        <xdr:cNvSpPr txBox="1"/>
      </xdr:nvSpPr>
      <xdr:spPr>
        <a:xfrm>
          <a:off x="5286375" y="1514475"/>
          <a:ext cx="6953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bar / psi</a:t>
          </a:r>
        </a:p>
      </xdr:txBody>
    </xdr:sp>
    <xdr:clientData/>
  </xdr:twoCellAnchor>
  <xdr:twoCellAnchor editAs="oneCell">
    <xdr:from>
      <xdr:col>0</xdr:col>
      <xdr:colOff>584200</xdr:colOff>
      <xdr:row>0</xdr:row>
      <xdr:rowOff>76200</xdr:rowOff>
    </xdr:from>
    <xdr:to>
      <xdr:col>4</xdr:col>
      <xdr:colOff>186338</xdr:colOff>
      <xdr:row>5</xdr:row>
      <xdr:rowOff>38133</xdr:rowOff>
    </xdr:to>
    <xdr:pic>
      <xdr:nvPicPr>
        <xdr:cNvPr id="6" name="Picture 5" descr="LOGO PFCUSA.PD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76200"/>
          <a:ext cx="2446938" cy="749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4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7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tabColor rgb="FF00B050"/>
    <pageSetUpPr fitToPage="1"/>
  </sheetPr>
  <dimension ref="A1:BT434"/>
  <sheetViews>
    <sheetView showRowColHeaders="0" workbookViewId="0">
      <pane xSplit="5" ySplit="20" topLeftCell="F27" activePane="bottomRight" state="frozen"/>
      <selection pane="topRight" activeCell="F1" sqref="F1"/>
      <selection pane="bottomLeft" activeCell="A21" sqref="A21"/>
      <selection pane="bottomRight" activeCell="F33" sqref="F33"/>
    </sheetView>
  </sheetViews>
  <sheetFormatPr baseColWidth="10" defaultColWidth="8.85546875" defaultRowHeight="12.75" x14ac:dyDescent="0.2"/>
  <cols>
    <col min="1" max="1" width="3.7109375" style="1" customWidth="1"/>
    <col min="2" max="2" width="38.7109375" style="1" customWidth="1"/>
    <col min="3" max="14" width="13.7109375" style="4" customWidth="1"/>
    <col min="15" max="15" width="3.7109375" style="4" customWidth="1"/>
    <col min="16" max="17" width="8.7109375" style="4" customWidth="1"/>
    <col min="18" max="27" width="8.7109375" style="1" customWidth="1"/>
    <col min="28" max="16384" width="8.85546875" style="1"/>
  </cols>
  <sheetData>
    <row r="1" spans="1:72" ht="2.1" customHeight="1" x14ac:dyDescent="0.2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0"/>
      <c r="S1" s="40"/>
      <c r="T1" s="166"/>
      <c r="U1" s="166"/>
      <c r="V1" s="166"/>
      <c r="W1" s="208" t="s">
        <v>4</v>
      </c>
      <c r="X1" s="166">
        <v>1</v>
      </c>
      <c r="Y1" s="166"/>
      <c r="Z1" s="166"/>
      <c r="AA1" s="166"/>
      <c r="AB1" s="166"/>
      <c r="AC1" s="166"/>
      <c r="AD1" s="166"/>
      <c r="AE1" s="166"/>
      <c r="AF1" s="127"/>
      <c r="AG1" s="127"/>
    </row>
    <row r="2" spans="1:72" ht="2.1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5"/>
      <c r="O2" s="102"/>
      <c r="P2" s="102"/>
      <c r="Q2" s="102"/>
      <c r="R2" s="127"/>
      <c r="S2" s="127"/>
      <c r="T2" s="166"/>
      <c r="U2" s="166"/>
      <c r="V2" s="166"/>
      <c r="W2" s="208" t="s">
        <v>151</v>
      </c>
      <c r="X2" s="166">
        <v>16.666666660000001</v>
      </c>
      <c r="Y2" s="166"/>
      <c r="Z2" s="166"/>
      <c r="AA2" s="166"/>
      <c r="AB2" s="166"/>
      <c r="AC2" s="166"/>
      <c r="AD2" s="166"/>
      <c r="AE2" s="166"/>
      <c r="AF2" s="127"/>
      <c r="AG2" s="127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</row>
    <row r="3" spans="1:72" ht="2.1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5"/>
      <c r="O3" s="102"/>
      <c r="P3" s="102"/>
      <c r="Q3" s="102"/>
      <c r="R3" s="127"/>
      <c r="S3" s="127"/>
      <c r="T3" s="166"/>
      <c r="U3" s="166"/>
      <c r="V3" s="166"/>
      <c r="W3" s="208" t="s">
        <v>87</v>
      </c>
      <c r="X3" s="166">
        <v>3.785412</v>
      </c>
      <c r="Y3" s="166"/>
      <c r="Z3" s="166"/>
      <c r="AA3" s="166"/>
      <c r="AB3" s="166"/>
      <c r="AC3" s="166"/>
      <c r="AD3" s="166"/>
      <c r="AE3" s="166"/>
      <c r="AF3" s="127"/>
      <c r="AG3" s="127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</row>
    <row r="4" spans="1:72" ht="2.1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5"/>
      <c r="O4" s="102"/>
      <c r="P4" s="102"/>
      <c r="Q4" s="102"/>
      <c r="R4" s="127"/>
      <c r="S4" s="127"/>
      <c r="T4" s="166"/>
      <c r="U4" s="166"/>
      <c r="V4" s="166"/>
      <c r="W4" s="208" t="s">
        <v>86</v>
      </c>
      <c r="X4" s="166">
        <v>4.5460919999999998</v>
      </c>
      <c r="Y4" s="166"/>
      <c r="Z4" s="166"/>
      <c r="AA4" s="166"/>
      <c r="AB4" s="166"/>
      <c r="AC4" s="166"/>
      <c r="AD4" s="166"/>
      <c r="AE4" s="166"/>
      <c r="AF4" s="127"/>
      <c r="AG4" s="127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</row>
    <row r="5" spans="1:72" ht="14.1" customHeight="1" thickBot="1" x14ac:dyDescent="0.25">
      <c r="A5" s="17"/>
      <c r="B5" s="17"/>
      <c r="C5" s="18"/>
      <c r="D5" s="18"/>
      <c r="E5" s="18"/>
      <c r="F5" s="6"/>
      <c r="G5" s="6"/>
      <c r="H5" s="6"/>
      <c r="I5" s="6"/>
      <c r="J5" s="6"/>
      <c r="K5" s="6"/>
      <c r="L5" s="6"/>
      <c r="M5" s="6"/>
      <c r="N5" s="1"/>
      <c r="O5" s="102"/>
      <c r="P5" s="102"/>
      <c r="Q5" s="102"/>
      <c r="R5" s="127"/>
      <c r="S5" s="127"/>
      <c r="T5" s="166"/>
      <c r="U5" s="166"/>
      <c r="V5" s="166"/>
      <c r="W5" s="208" t="s">
        <v>15</v>
      </c>
      <c r="X5" s="166">
        <v>60</v>
      </c>
      <c r="Y5" s="166"/>
      <c r="Z5" s="166"/>
      <c r="AA5" s="166"/>
      <c r="AB5" s="166"/>
      <c r="AC5" s="166"/>
      <c r="AD5" s="166"/>
      <c r="AE5" s="166"/>
      <c r="AF5" s="127"/>
      <c r="AG5" s="127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</row>
    <row r="6" spans="1:72" s="37" customFormat="1" ht="14.1" customHeight="1" x14ac:dyDescent="0.2">
      <c r="A6" s="41"/>
      <c r="B6" s="220" t="s">
        <v>0</v>
      </c>
      <c r="C6" s="221"/>
      <c r="D6" s="222"/>
      <c r="E6" s="42"/>
      <c r="G6" s="220" t="s">
        <v>1</v>
      </c>
      <c r="H6" s="221"/>
      <c r="I6" s="221"/>
      <c r="J6" s="221"/>
      <c r="K6" s="221"/>
      <c r="L6" s="221"/>
      <c r="M6" s="221"/>
      <c r="N6" s="222"/>
      <c r="O6" s="100"/>
      <c r="P6" s="100"/>
      <c r="Q6" s="100"/>
      <c r="R6" s="166"/>
      <c r="S6" s="166"/>
      <c r="T6" s="166"/>
      <c r="U6" s="166"/>
      <c r="V6" s="166"/>
      <c r="W6" s="208" t="s">
        <v>16</v>
      </c>
      <c r="X6" s="166">
        <v>1.6667000000000001E-2</v>
      </c>
      <c r="Y6" s="166"/>
      <c r="Z6" s="166"/>
      <c r="AA6" s="166"/>
      <c r="AB6" s="166"/>
      <c r="AC6" s="166"/>
      <c r="AD6" s="166"/>
      <c r="AE6" s="166"/>
      <c r="AF6" s="166"/>
      <c r="AG6" s="166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</row>
    <row r="7" spans="1:72" s="37" customFormat="1" ht="14.1" customHeight="1" thickBot="1" x14ac:dyDescent="0.25">
      <c r="A7" s="41"/>
      <c r="B7" s="223"/>
      <c r="C7" s="224"/>
      <c r="D7" s="225"/>
      <c r="E7" s="42"/>
      <c r="G7" s="226"/>
      <c r="H7" s="227"/>
      <c r="I7" s="227"/>
      <c r="J7" s="227"/>
      <c r="K7" s="227"/>
      <c r="L7" s="227"/>
      <c r="M7" s="227"/>
      <c r="N7" s="228"/>
      <c r="O7" s="100"/>
      <c r="P7" s="100"/>
      <c r="Q7" s="100"/>
      <c r="R7" s="177"/>
      <c r="S7" s="166"/>
      <c r="T7" s="166"/>
      <c r="U7" s="166"/>
      <c r="V7" s="166"/>
      <c r="W7" s="208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</row>
    <row r="8" spans="1:72" s="37" customFormat="1" ht="14.1" customHeight="1" thickBot="1" x14ac:dyDescent="0.25">
      <c r="A8" s="41"/>
      <c r="B8" s="182">
        <f ca="1">TODAY()</f>
        <v>42076</v>
      </c>
      <c r="C8" s="229" t="s">
        <v>100</v>
      </c>
      <c r="D8" s="230"/>
      <c r="E8" s="42"/>
      <c r="G8" s="77" t="s">
        <v>2</v>
      </c>
      <c r="H8" s="78"/>
      <c r="I8" s="77" t="s">
        <v>3</v>
      </c>
      <c r="J8" s="79"/>
      <c r="K8" s="78" t="s">
        <v>2</v>
      </c>
      <c r="L8" s="78"/>
      <c r="M8" s="77" t="s">
        <v>3</v>
      </c>
      <c r="N8" s="79"/>
      <c r="O8" s="100"/>
      <c r="P8" s="100"/>
      <c r="Q8" s="100"/>
      <c r="R8" s="166"/>
      <c r="S8" s="166"/>
      <c r="T8" s="166"/>
      <c r="U8" s="166"/>
      <c r="V8" s="166"/>
      <c r="W8" s="208" t="s">
        <v>8</v>
      </c>
      <c r="X8" s="166">
        <v>1</v>
      </c>
      <c r="Y8" s="166"/>
      <c r="Z8" s="166"/>
      <c r="AA8" s="166"/>
      <c r="AB8" s="166"/>
      <c r="AC8" s="166"/>
      <c r="AD8" s="166"/>
      <c r="AE8" s="166"/>
      <c r="AF8" s="166"/>
      <c r="AG8" s="166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</row>
    <row r="9" spans="1:72" s="37" customFormat="1" ht="14.1" customHeight="1" x14ac:dyDescent="0.2">
      <c r="A9" s="41"/>
      <c r="B9" s="95" t="s">
        <v>124</v>
      </c>
      <c r="C9" s="65">
        <v>14.5</v>
      </c>
      <c r="D9" s="66" t="s">
        <v>86</v>
      </c>
      <c r="E9" s="42"/>
      <c r="G9" s="80" t="s">
        <v>5</v>
      </c>
      <c r="H9" s="67">
        <v>1</v>
      </c>
      <c r="I9" s="80" t="s">
        <v>4</v>
      </c>
      <c r="J9" s="116">
        <f>H9*4.546092</f>
        <v>4.5460919999999998</v>
      </c>
      <c r="K9" s="90" t="s">
        <v>6</v>
      </c>
      <c r="L9" s="91">
        <v>1</v>
      </c>
      <c r="M9" s="84" t="s">
        <v>7</v>
      </c>
      <c r="N9" s="119">
        <f>L9*1.341022</f>
        <v>1.3410219999999999</v>
      </c>
      <c r="O9" s="100"/>
      <c r="P9" s="101"/>
      <c r="Q9" s="101"/>
      <c r="R9" s="166"/>
      <c r="S9" s="166"/>
      <c r="T9" s="166"/>
      <c r="U9" s="166"/>
      <c r="V9" s="166"/>
      <c r="W9" s="208" t="s">
        <v>88</v>
      </c>
      <c r="X9" s="166">
        <v>6.894757E-2</v>
      </c>
      <c r="Y9" s="166"/>
      <c r="Z9" s="166"/>
      <c r="AA9" s="166"/>
      <c r="AB9" s="166"/>
      <c r="AC9" s="166"/>
      <c r="AD9" s="166"/>
      <c r="AE9" s="166"/>
      <c r="AF9" s="166"/>
      <c r="AG9" s="166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</row>
    <row r="10" spans="1:72" s="37" customFormat="1" ht="14.1" customHeight="1" x14ac:dyDescent="0.2">
      <c r="A10" s="41"/>
      <c r="B10" s="95" t="s">
        <v>125</v>
      </c>
      <c r="C10" s="65">
        <v>3.5</v>
      </c>
      <c r="D10" s="66" t="s">
        <v>8</v>
      </c>
      <c r="E10" s="42"/>
      <c r="G10" s="81" t="s">
        <v>9</v>
      </c>
      <c r="H10" s="68">
        <v>1</v>
      </c>
      <c r="I10" s="82" t="s">
        <v>4</v>
      </c>
      <c r="J10" s="112">
        <f>H10*3.785412</f>
        <v>3.785412</v>
      </c>
      <c r="K10" s="82" t="s">
        <v>10</v>
      </c>
      <c r="L10" s="92">
        <v>1</v>
      </c>
      <c r="M10" s="85" t="s">
        <v>11</v>
      </c>
      <c r="N10" s="112">
        <f>L10*0.737561</f>
        <v>0.73756100000000002</v>
      </c>
      <c r="O10" s="100"/>
      <c r="P10" s="101"/>
      <c r="Q10" s="101"/>
      <c r="R10" s="178"/>
      <c r="S10" s="166"/>
      <c r="T10" s="166"/>
      <c r="U10" s="166"/>
      <c r="V10" s="166"/>
      <c r="W10" s="208" t="s">
        <v>22</v>
      </c>
      <c r="X10" s="166">
        <v>0.01</v>
      </c>
      <c r="Y10" s="166"/>
      <c r="Z10" s="166"/>
      <c r="AA10" s="166"/>
      <c r="AB10" s="166"/>
      <c r="AC10" s="166"/>
      <c r="AD10" s="166"/>
      <c r="AE10" s="166"/>
      <c r="AF10" s="166"/>
      <c r="AG10" s="166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</row>
    <row r="11" spans="1:72" s="37" customFormat="1" ht="14.1" customHeight="1" x14ac:dyDescent="0.2">
      <c r="A11" s="41"/>
      <c r="B11" s="95" t="s">
        <v>126</v>
      </c>
      <c r="C11" s="65">
        <v>300</v>
      </c>
      <c r="D11" s="66" t="s">
        <v>12</v>
      </c>
      <c r="E11" s="42"/>
      <c r="G11" s="82" t="s">
        <v>13</v>
      </c>
      <c r="H11" s="68">
        <v>1</v>
      </c>
      <c r="I11" s="82" t="s">
        <v>4</v>
      </c>
      <c r="J11" s="112">
        <f>H11*16.66666666</f>
        <v>16.666666660000001</v>
      </c>
      <c r="K11" s="82" t="s">
        <v>10</v>
      </c>
      <c r="L11" s="92">
        <v>1</v>
      </c>
      <c r="M11" s="85" t="s">
        <v>14</v>
      </c>
      <c r="N11" s="112">
        <f>L11*8.85075</f>
        <v>8.8507499999999997</v>
      </c>
      <c r="O11" s="100"/>
      <c r="P11" s="101"/>
      <c r="Q11" s="101"/>
      <c r="R11" s="166"/>
      <c r="S11" s="166"/>
      <c r="T11" s="166"/>
      <c r="U11" s="166"/>
      <c r="V11" s="166"/>
      <c r="W11" s="208" t="s">
        <v>24</v>
      </c>
      <c r="X11" s="166">
        <v>10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</row>
    <row r="12" spans="1:72" s="37" customFormat="1" ht="14.1" customHeight="1" x14ac:dyDescent="0.2">
      <c r="A12" s="41"/>
      <c r="B12" s="204" t="s">
        <v>157</v>
      </c>
      <c r="C12" s="205"/>
      <c r="D12" s="206" t="s">
        <v>153</v>
      </c>
      <c r="E12" s="42"/>
      <c r="G12" s="82" t="s">
        <v>15</v>
      </c>
      <c r="H12" s="68">
        <v>1</v>
      </c>
      <c r="I12" s="82" t="s">
        <v>4</v>
      </c>
      <c r="J12" s="117">
        <f>H12*60</f>
        <v>60</v>
      </c>
      <c r="K12" s="82"/>
      <c r="L12" s="93"/>
      <c r="M12" s="85"/>
      <c r="N12" s="86"/>
      <c r="O12" s="100"/>
      <c r="P12" s="101"/>
      <c r="Q12" s="101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</row>
    <row r="13" spans="1:72" s="37" customFormat="1" ht="14.1" customHeight="1" thickBot="1" x14ac:dyDescent="0.25">
      <c r="A13" s="41"/>
      <c r="B13" s="201" t="s">
        <v>158</v>
      </c>
      <c r="C13" s="202"/>
      <c r="D13" s="203" t="s">
        <v>153</v>
      </c>
      <c r="E13" s="63"/>
      <c r="G13" s="82" t="s">
        <v>16</v>
      </c>
      <c r="H13" s="68">
        <v>1</v>
      </c>
      <c r="I13" s="82" t="s">
        <v>4</v>
      </c>
      <c r="J13" s="118">
        <f>H13/60</f>
        <v>1.6666666666666666E-2</v>
      </c>
      <c r="K13" s="82" t="s">
        <v>17</v>
      </c>
      <c r="L13" s="92">
        <v>1</v>
      </c>
      <c r="M13" s="85" t="s">
        <v>18</v>
      </c>
      <c r="N13" s="112">
        <f>L13*3.28083</f>
        <v>3.2808299999999999</v>
      </c>
      <c r="O13" s="100"/>
      <c r="P13" s="101"/>
      <c r="Q13" s="101"/>
      <c r="R13" s="166"/>
      <c r="S13" s="166"/>
      <c r="T13" s="166"/>
      <c r="U13" s="166"/>
      <c r="V13" s="166"/>
      <c r="W13" s="208" t="s">
        <v>12</v>
      </c>
      <c r="X13" s="166">
        <v>1</v>
      </c>
      <c r="Y13" s="166"/>
      <c r="Z13" s="166">
        <v>0.22600000000000001</v>
      </c>
      <c r="AA13" s="166"/>
      <c r="AB13" s="166"/>
      <c r="AC13" s="166"/>
      <c r="AD13" s="166"/>
      <c r="AE13" s="166"/>
      <c r="AF13" s="166"/>
      <c r="AG13" s="166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</row>
    <row r="14" spans="1:72" s="37" customFormat="1" ht="14.1" customHeight="1" x14ac:dyDescent="0.2">
      <c r="A14" s="41"/>
      <c r="B14" s="132"/>
      <c r="C14" s="133"/>
      <c r="D14" s="134"/>
      <c r="E14" s="42"/>
      <c r="G14" s="82"/>
      <c r="H14" s="87"/>
      <c r="I14" s="82"/>
      <c r="J14" s="86"/>
      <c r="K14" s="82" t="s">
        <v>19</v>
      </c>
      <c r="L14" s="92">
        <v>1</v>
      </c>
      <c r="M14" s="85" t="s">
        <v>20</v>
      </c>
      <c r="N14" s="112">
        <f>L14*3.28083</f>
        <v>3.2808299999999999</v>
      </c>
      <c r="O14" s="100"/>
      <c r="P14" s="101"/>
      <c r="Q14" s="101"/>
      <c r="R14" s="166"/>
      <c r="S14" s="166"/>
      <c r="T14" s="166"/>
      <c r="U14" s="166"/>
      <c r="V14" s="166"/>
      <c r="W14" s="208" t="s">
        <v>23</v>
      </c>
      <c r="X14" s="166">
        <v>1000</v>
      </c>
      <c r="Y14" s="166"/>
      <c r="Z14" s="166">
        <v>155</v>
      </c>
      <c r="AA14" s="166"/>
      <c r="AB14" s="166"/>
      <c r="AC14" s="166"/>
      <c r="AD14" s="166"/>
      <c r="AE14" s="166"/>
      <c r="AF14" s="166"/>
      <c r="AG14" s="166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</row>
    <row r="15" spans="1:72" s="37" customFormat="1" ht="14.1" customHeight="1" x14ac:dyDescent="0.2">
      <c r="A15" s="36"/>
      <c r="B15" s="135"/>
      <c r="C15" s="64"/>
      <c r="D15" s="136"/>
      <c r="G15" s="82" t="s">
        <v>21</v>
      </c>
      <c r="H15" s="68">
        <v>1</v>
      </c>
      <c r="I15" s="82" t="s">
        <v>8</v>
      </c>
      <c r="J15" s="112">
        <f>H15*0.06894757</f>
        <v>6.894757E-2</v>
      </c>
      <c r="K15" s="82"/>
      <c r="L15" s="94"/>
      <c r="M15" s="85"/>
      <c r="N15" s="86"/>
      <c r="O15" s="100"/>
      <c r="P15" s="101"/>
      <c r="Q15" s="101"/>
      <c r="R15" s="166"/>
      <c r="S15" s="166"/>
      <c r="T15" s="166"/>
      <c r="U15" s="166"/>
      <c r="V15" s="166"/>
      <c r="W15" s="208" t="s">
        <v>25</v>
      </c>
      <c r="X15" s="166">
        <v>1</v>
      </c>
      <c r="Y15" s="166"/>
      <c r="Z15" s="166">
        <v>0.21606</v>
      </c>
      <c r="AA15" s="166"/>
      <c r="AB15" s="166"/>
      <c r="AC15" s="166"/>
      <c r="AD15" s="166"/>
      <c r="AE15" s="166"/>
      <c r="AF15" s="166"/>
      <c r="AG15" s="166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</row>
    <row r="16" spans="1:72" s="37" customFormat="1" ht="14.1" customHeight="1" x14ac:dyDescent="0.2">
      <c r="A16" s="36"/>
      <c r="B16" s="137"/>
      <c r="C16" s="64"/>
      <c r="D16" s="136"/>
      <c r="G16" s="82" t="s">
        <v>22</v>
      </c>
      <c r="H16" s="68">
        <v>1</v>
      </c>
      <c r="I16" s="82" t="s">
        <v>8</v>
      </c>
      <c r="J16" s="112">
        <f>H16/100</f>
        <v>0.01</v>
      </c>
      <c r="K16" s="95" t="s">
        <v>23</v>
      </c>
      <c r="L16" s="92">
        <v>1</v>
      </c>
      <c r="M16" s="85" t="s">
        <v>12</v>
      </c>
      <c r="N16" s="120">
        <f>L16*1000</f>
        <v>1000</v>
      </c>
      <c r="O16" s="100"/>
      <c r="P16" s="101"/>
      <c r="Q16" s="101"/>
      <c r="R16" s="166"/>
      <c r="S16" s="166"/>
      <c r="T16" s="166"/>
      <c r="U16" s="166"/>
      <c r="V16" s="166"/>
      <c r="W16" s="208" t="s">
        <v>143</v>
      </c>
      <c r="X16" s="166">
        <f>ROUND(Z16,0)</f>
        <v>0</v>
      </c>
      <c r="Y16" s="166"/>
      <c r="Z16" s="166" t="b">
        <f>IF(D11="SSU",IF(C11&lt;100,Z13*C11-(Z14/C11)-1,Z15*C11-(195/C11)))</f>
        <v>0</v>
      </c>
      <c r="AA16" s="166"/>
      <c r="AB16" s="166"/>
      <c r="AC16" s="166"/>
      <c r="AD16" s="166"/>
      <c r="AE16" s="166"/>
      <c r="AF16" s="166"/>
      <c r="AG16" s="166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</row>
    <row r="17" spans="1:72" s="37" customFormat="1" ht="14.1" customHeight="1" thickBot="1" x14ac:dyDescent="0.25">
      <c r="A17" s="36"/>
      <c r="B17" s="135"/>
      <c r="C17" s="64"/>
      <c r="D17" s="136"/>
      <c r="G17" s="83" t="s">
        <v>24</v>
      </c>
      <c r="H17" s="69">
        <v>1</v>
      </c>
      <c r="I17" s="83" t="s">
        <v>8</v>
      </c>
      <c r="J17" s="109">
        <f>H17*10</f>
        <v>10</v>
      </c>
      <c r="K17" s="96" t="s">
        <v>25</v>
      </c>
      <c r="L17" s="97">
        <v>1</v>
      </c>
      <c r="M17" s="89" t="s">
        <v>12</v>
      </c>
      <c r="N17" s="121">
        <f>L17</f>
        <v>1</v>
      </c>
      <c r="O17" s="100"/>
      <c r="P17" s="101"/>
      <c r="Q17" s="101"/>
      <c r="R17" s="166"/>
      <c r="S17" s="166"/>
      <c r="T17" s="166"/>
      <c r="U17" s="166"/>
      <c r="V17" s="166"/>
      <c r="W17" s="166"/>
      <c r="X17" s="173">
        <f>IF($D$9="l/m",C9*X1,IF($D$9="m³/hr",C9*X2,IF($D$9="gpm",C9*X4,IF($D$9="l/s",C9*X5,IF($D$9="l/hr",C9*X6,IF($D$9="usgpm",C9*X3))))))</f>
        <v>65.918334000000002</v>
      </c>
      <c r="Y17" s="166"/>
      <c r="Z17" s="166"/>
      <c r="AA17" s="166"/>
      <c r="AB17" s="166"/>
      <c r="AC17" s="166"/>
      <c r="AD17" s="166"/>
      <c r="AE17" s="166"/>
      <c r="AF17" s="166"/>
      <c r="AG17" s="166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</row>
    <row r="18" spans="1:72" s="37" customFormat="1" ht="14.1" customHeight="1" thickBot="1" x14ac:dyDescent="0.25">
      <c r="A18" s="36"/>
      <c r="B18" s="138"/>
      <c r="C18" s="139"/>
      <c r="D18" s="140"/>
      <c r="E18" s="39"/>
      <c r="O18" s="100"/>
      <c r="P18" s="101"/>
      <c r="Q18" s="101"/>
      <c r="R18" s="166"/>
      <c r="S18" s="166"/>
      <c r="T18" s="166"/>
      <c r="U18" s="166"/>
      <c r="V18" s="166"/>
      <c r="W18" s="166">
        <f>IF($D$10="Bar",C10*X8,IF($D$10="psi",C10*X9,IF($D$10="kPa",C10*X10,IF($D$10="MPa",C10*X11))))</f>
        <v>3.5</v>
      </c>
      <c r="X18" s="173">
        <f>IF(D12="No",W18,IF(W18&gt;1,W18+$AA$20,(IF(W18&gt;0,W18*($AA$20+1),"N/A"))))</f>
        <v>3.5</v>
      </c>
      <c r="Y18" s="166"/>
      <c r="Z18" s="166" t="s">
        <v>152</v>
      </c>
      <c r="AA18" s="166"/>
      <c r="AB18" s="166"/>
      <c r="AC18" s="166"/>
      <c r="AD18" s="166"/>
      <c r="AE18" s="166"/>
      <c r="AF18" s="166"/>
      <c r="AG18" s="166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</row>
    <row r="19" spans="1:72" s="37" customFormat="1" ht="14.1" customHeight="1" thickBot="1" x14ac:dyDescent="0.25">
      <c r="A19" s="43"/>
      <c r="B19" s="43"/>
      <c r="C19" s="38"/>
      <c r="D19" s="44"/>
      <c r="E19" s="44"/>
      <c r="F19" s="45"/>
      <c r="G19" s="44"/>
      <c r="H19" s="44"/>
      <c r="I19" s="44"/>
      <c r="J19" s="38"/>
      <c r="K19" s="44"/>
      <c r="L19" s="44"/>
      <c r="M19" s="44"/>
      <c r="N19" s="44"/>
      <c r="O19" s="100"/>
      <c r="P19" s="101"/>
      <c r="Q19" s="101"/>
      <c r="R19" s="166"/>
      <c r="S19" s="166"/>
      <c r="T19" s="166"/>
      <c r="U19" s="166"/>
      <c r="V19" s="166"/>
      <c r="W19" s="166"/>
      <c r="X19" s="173">
        <f>IF(D11="SSU",X16,IF($D$11="cP",C11*X13,IF($D$11="Pas",C11*X14,IF($D$11="mPas",C11*X15))))</f>
        <v>300</v>
      </c>
      <c r="Y19" s="166"/>
      <c r="Z19" s="166" t="s">
        <v>153</v>
      </c>
      <c r="AA19" s="166"/>
      <c r="AB19" s="166"/>
      <c r="AC19" s="166"/>
      <c r="AD19" s="166"/>
      <c r="AE19" s="166"/>
      <c r="AF19" s="166"/>
      <c r="AG19" s="166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</row>
    <row r="20" spans="1:72" s="37" customFormat="1" ht="14.1" customHeight="1" thickBot="1" x14ac:dyDescent="0.25">
      <c r="A20" s="36"/>
      <c r="B20" s="142" t="str">
        <f>CONCATENATE(Y26, " ",X25," ",Y25)</f>
        <v>CP / MP  Selector Issue D.  10/13</v>
      </c>
      <c r="C20" s="75" t="s">
        <v>167</v>
      </c>
      <c r="D20" s="76" t="s">
        <v>168</v>
      </c>
      <c r="E20" s="107" t="s">
        <v>169</v>
      </c>
      <c r="F20" s="75" t="s">
        <v>170</v>
      </c>
      <c r="G20" s="107" t="s">
        <v>171</v>
      </c>
      <c r="H20" s="75" t="s">
        <v>172</v>
      </c>
      <c r="I20" s="107" t="s">
        <v>173</v>
      </c>
      <c r="J20" s="75" t="s">
        <v>174</v>
      </c>
      <c r="K20" s="107" t="s">
        <v>175</v>
      </c>
      <c r="L20" s="75" t="s">
        <v>176</v>
      </c>
      <c r="M20" s="76" t="s">
        <v>177</v>
      </c>
      <c r="N20" s="217" t="s">
        <v>178</v>
      </c>
      <c r="O20" s="100"/>
      <c r="P20" s="101"/>
      <c r="Q20" s="101"/>
      <c r="R20" s="166"/>
      <c r="S20" s="166"/>
      <c r="T20" s="166"/>
      <c r="U20" s="166"/>
      <c r="V20" s="166"/>
      <c r="W20" s="166"/>
      <c r="X20" s="173"/>
      <c r="Y20" s="166"/>
      <c r="Z20" s="166" t="s">
        <v>154</v>
      </c>
      <c r="AA20" s="166">
        <f>IF(D12="Yes",1,0)</f>
        <v>0</v>
      </c>
      <c r="AB20" s="166"/>
      <c r="AC20" s="166"/>
      <c r="AD20" s="166"/>
      <c r="AE20" s="166"/>
      <c r="AF20" s="166"/>
      <c r="AG20" s="166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</row>
    <row r="21" spans="1:72" s="37" customFormat="1" ht="14.1" customHeight="1" x14ac:dyDescent="0.2">
      <c r="A21" s="36"/>
      <c r="B21" s="209" t="s">
        <v>162</v>
      </c>
      <c r="C21" s="231" t="s">
        <v>163</v>
      </c>
      <c r="D21" s="232"/>
      <c r="E21" s="232"/>
      <c r="F21" s="218" t="s">
        <v>163</v>
      </c>
      <c r="G21" s="232"/>
      <c r="H21" s="218" t="s">
        <v>163</v>
      </c>
      <c r="I21" s="232"/>
      <c r="J21" s="218" t="s">
        <v>163</v>
      </c>
      <c r="K21" s="232"/>
      <c r="L21" s="218" t="s">
        <v>164</v>
      </c>
      <c r="M21" s="232"/>
      <c r="N21" s="219"/>
      <c r="O21" s="100"/>
      <c r="P21" s="101"/>
      <c r="Q21" s="101"/>
      <c r="R21" s="166"/>
      <c r="S21" s="166"/>
      <c r="T21" s="166"/>
      <c r="U21" s="166"/>
      <c r="V21" s="166"/>
      <c r="W21" s="166"/>
      <c r="X21" s="166" t="str">
        <f>CONCATENATE(X23," / ",X22)</f>
        <v>CP / MP</v>
      </c>
      <c r="Y21" s="166"/>
      <c r="Z21" s="166"/>
      <c r="AA21" s="166"/>
      <c r="AB21" s="166"/>
      <c r="AC21" s="166"/>
      <c r="AD21" s="166"/>
      <c r="AE21" s="166"/>
      <c r="AF21" s="166"/>
      <c r="AG21" s="166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</row>
    <row r="22" spans="1:72" s="37" customFormat="1" ht="14.1" customHeight="1" x14ac:dyDescent="0.2">
      <c r="A22" s="43"/>
      <c r="B22" s="74" t="s">
        <v>26</v>
      </c>
      <c r="C22" s="210">
        <v>4.5999999999999999E-2</v>
      </c>
      <c r="D22" s="144">
        <v>8.3000000000000004E-2</v>
      </c>
      <c r="E22" s="144">
        <v>0.111</v>
      </c>
      <c r="F22" s="144">
        <v>0.20200000000000001</v>
      </c>
      <c r="G22" s="144">
        <v>0.313</v>
      </c>
      <c r="H22" s="144">
        <v>0.69399999999999995</v>
      </c>
      <c r="I22" s="144">
        <v>1.125</v>
      </c>
      <c r="J22" s="144">
        <v>1.8</v>
      </c>
      <c r="K22" s="144">
        <v>2.5</v>
      </c>
      <c r="L22" s="144">
        <v>3.5139999999999998</v>
      </c>
      <c r="M22" s="144">
        <v>5.25</v>
      </c>
      <c r="N22" s="145">
        <v>5.25</v>
      </c>
      <c r="O22" s="100"/>
      <c r="P22" s="101"/>
      <c r="Q22" s="101"/>
      <c r="R22" s="166"/>
      <c r="S22" s="166"/>
      <c r="T22" s="166"/>
      <c r="U22" s="166"/>
      <c r="V22" s="166"/>
      <c r="W22" s="166"/>
      <c r="X22" s="166" t="s">
        <v>160</v>
      </c>
      <c r="Y22" s="166"/>
      <c r="Z22" s="166"/>
      <c r="AA22" s="166"/>
      <c r="AB22" s="166"/>
      <c r="AC22" s="166"/>
      <c r="AD22" s="166"/>
      <c r="AE22" s="166"/>
      <c r="AF22" s="166"/>
      <c r="AG22" s="166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</row>
    <row r="23" spans="1:72" s="37" customFormat="1" ht="14.1" customHeight="1" x14ac:dyDescent="0.2">
      <c r="A23" s="43"/>
      <c r="B23" s="71" t="s">
        <v>27</v>
      </c>
      <c r="C23" s="207">
        <v>1</v>
      </c>
      <c r="D23" s="72">
        <v>1.5</v>
      </c>
      <c r="E23" s="72">
        <v>1.5</v>
      </c>
      <c r="F23" s="72">
        <v>1.5</v>
      </c>
      <c r="G23" s="73">
        <v>2</v>
      </c>
      <c r="H23" s="73">
        <v>2</v>
      </c>
      <c r="I23" s="73">
        <v>3</v>
      </c>
      <c r="J23" s="73">
        <v>3</v>
      </c>
      <c r="K23" s="73">
        <v>4</v>
      </c>
      <c r="L23" s="73">
        <v>4</v>
      </c>
      <c r="M23" s="73">
        <v>6</v>
      </c>
      <c r="N23" s="86">
        <v>6</v>
      </c>
      <c r="O23" s="100"/>
      <c r="P23" s="101"/>
      <c r="Q23" s="101"/>
      <c r="R23" s="166"/>
      <c r="S23" s="166"/>
      <c r="T23" s="166"/>
      <c r="U23" s="166"/>
      <c r="V23" s="166"/>
      <c r="W23" s="166"/>
      <c r="X23" s="166" t="s">
        <v>161</v>
      </c>
      <c r="Y23" s="166"/>
      <c r="Z23" s="166"/>
      <c r="AA23" s="166"/>
      <c r="AB23" s="166"/>
      <c r="AC23" s="166"/>
      <c r="AD23" s="166"/>
      <c r="AE23" s="166"/>
      <c r="AF23" s="166"/>
      <c r="AG23" s="166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</row>
    <row r="24" spans="1:72" s="37" customFormat="1" ht="14.1" customHeight="1" thickBot="1" x14ac:dyDescent="0.25">
      <c r="A24" s="43"/>
      <c r="B24" s="105" t="s">
        <v>28</v>
      </c>
      <c r="C24" s="211">
        <v>25</v>
      </c>
      <c r="D24" s="212">
        <v>38</v>
      </c>
      <c r="E24" s="212">
        <v>38</v>
      </c>
      <c r="F24" s="212">
        <v>38</v>
      </c>
      <c r="G24" s="212">
        <v>50</v>
      </c>
      <c r="H24" s="212">
        <v>50</v>
      </c>
      <c r="I24" s="212">
        <v>76</v>
      </c>
      <c r="J24" s="212">
        <v>76</v>
      </c>
      <c r="K24" s="212">
        <v>101</v>
      </c>
      <c r="L24" s="212">
        <v>101</v>
      </c>
      <c r="M24" s="212">
        <v>152</v>
      </c>
      <c r="N24" s="213">
        <v>152</v>
      </c>
      <c r="O24" s="100"/>
      <c r="P24" s="101"/>
      <c r="Q24" s="101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</row>
    <row r="25" spans="1:72" s="37" customFormat="1" ht="14.1" customHeight="1" x14ac:dyDescent="0.2">
      <c r="A25" s="43"/>
      <c r="B25" s="104" t="s">
        <v>29</v>
      </c>
      <c r="C25" s="198" t="str">
        <f>IF(C116="N/A","N/A",IF(C96&gt;15,"N/A",IF(C116&gt;C108,"N/A",(IF(C116&gt;0,C116,"N/A")))))</f>
        <v>N/A</v>
      </c>
      <c r="D25" s="197">
        <f t="shared" ref="D25:N25" si="0">IF(D116="N/A","N/A",IF(D96&gt;15,"N/A",IF(D116&gt;D108,"N/A",(IF(D116&gt;0,D116,"N/A")))))</f>
        <v>814.27468230919283</v>
      </c>
      <c r="E25" s="197">
        <f t="shared" si="0"/>
        <v>617.58434315658963</v>
      </c>
      <c r="F25" s="197">
        <f t="shared" si="0"/>
        <v>342.34400907944075</v>
      </c>
      <c r="G25" s="197">
        <f t="shared" si="0"/>
        <v>226.69236846168616</v>
      </c>
      <c r="H25" s="197">
        <f t="shared" si="0"/>
        <v>104.71190929171624</v>
      </c>
      <c r="I25" s="197">
        <f t="shared" si="0"/>
        <v>69.686537673722611</v>
      </c>
      <c r="J25" s="197">
        <f t="shared" si="0"/>
        <v>43.469103844705892</v>
      </c>
      <c r="K25" s="197">
        <f t="shared" si="0"/>
        <v>33.989090401042404</v>
      </c>
      <c r="L25" s="197">
        <f t="shared" si="0"/>
        <v>24.973351396492614</v>
      </c>
      <c r="M25" s="197">
        <f t="shared" si="0"/>
        <v>18.797066483092166</v>
      </c>
      <c r="N25" s="199">
        <f t="shared" si="0"/>
        <v>21.562826108524455</v>
      </c>
      <c r="O25" s="100"/>
      <c r="P25" s="100"/>
      <c r="Q25" s="100"/>
      <c r="R25" s="166"/>
      <c r="S25" s="166"/>
      <c r="T25" s="166"/>
      <c r="U25" s="166"/>
      <c r="V25" s="166"/>
      <c r="W25" s="166"/>
      <c r="X25" s="166" t="s">
        <v>121</v>
      </c>
      <c r="Y25" s="166" t="s">
        <v>159</v>
      </c>
      <c r="Z25" s="166"/>
      <c r="AA25" s="166"/>
      <c r="AB25" s="166"/>
      <c r="AC25" s="166"/>
      <c r="AD25" s="166"/>
      <c r="AE25" s="166"/>
      <c r="AF25" s="166"/>
      <c r="AG25" s="166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</row>
    <row r="26" spans="1:72" s="37" customFormat="1" ht="14.1" customHeight="1" x14ac:dyDescent="0.2">
      <c r="A26" s="43"/>
      <c r="B26" s="74" t="str">
        <f>IF(D9="gpm","Power required  -  HP",IF(D9="usgpm","Power required  -  HP","Power required - kw"))</f>
        <v>Power required  -  HP</v>
      </c>
      <c r="C26" s="110" t="str">
        <f t="shared" ref="C26:N26" si="1">IF(C25="N/A","N/A",IF($B$26="Power required - kw",IF(C114="N/A","N/A",C114*C25/9550),IF(C114="N/A","N/A",C114*C25/9550*1.34)))</f>
        <v>N/A</v>
      </c>
      <c r="D26" s="111">
        <f t="shared" si="1"/>
        <v>1.6069589536191289</v>
      </c>
      <c r="E26" s="111">
        <f t="shared" si="1"/>
        <v>1.5564651565842087</v>
      </c>
      <c r="F26" s="111">
        <f t="shared" si="1"/>
        <v>1.1156938724523695</v>
      </c>
      <c r="G26" s="111">
        <f t="shared" si="1"/>
        <v>1.0639366206620431</v>
      </c>
      <c r="H26" s="111">
        <f t="shared" si="1"/>
        <v>0.94943378956941249</v>
      </c>
      <c r="I26" s="111">
        <f t="shared" si="1"/>
        <v>0.97908822727522926</v>
      </c>
      <c r="J26" s="111">
        <f t="shared" si="1"/>
        <v>1.2260857890212364</v>
      </c>
      <c r="K26" s="111">
        <f t="shared" si="1"/>
        <v>1.2518141226344544</v>
      </c>
      <c r="L26" s="111">
        <f t="shared" si="1"/>
        <v>1.2954096060416629</v>
      </c>
      <c r="M26" s="111">
        <f t="shared" si="1"/>
        <v>1.3562257289304529</v>
      </c>
      <c r="N26" s="112">
        <f t="shared" si="1"/>
        <v>1.5557778434810035</v>
      </c>
      <c r="O26" s="100"/>
      <c r="P26" s="100"/>
      <c r="Q26" s="100"/>
      <c r="R26" s="166"/>
      <c r="S26" s="166"/>
      <c r="T26" s="166"/>
      <c r="U26" s="166"/>
      <c r="V26" s="166"/>
      <c r="W26" s="166"/>
      <c r="X26" s="166" t="s">
        <v>120</v>
      </c>
      <c r="Y26" s="166" t="str">
        <f>CONCATENATE(X21, "  Selector")</f>
        <v>CP / MP  Selector</v>
      </c>
      <c r="Z26" s="166"/>
      <c r="AA26" s="166"/>
      <c r="AB26" s="166"/>
      <c r="AC26" s="166"/>
      <c r="AD26" s="166"/>
      <c r="AE26" s="166"/>
      <c r="AF26" s="166"/>
      <c r="AG26" s="166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</row>
    <row r="27" spans="1:72" s="37" customFormat="1" ht="14.1" customHeight="1" x14ac:dyDescent="0.2">
      <c r="A27" s="43"/>
      <c r="B27" s="74" t="str">
        <f>IF(D9="gpm","Torque required  -  lb/ft",IF(D9="usgpm","Torque required  -  lb/ft","Torque required - Nm"))</f>
        <v>Torque required  -  lb/ft</v>
      </c>
      <c r="C27" s="113" t="str">
        <f t="shared" ref="C27:N27" si="2">IF(C25="N/A","N/A",IF($B$27="Torque required - Nm",IF(C114&lt;C103,C114,"N/A"),IF(C114&lt;C103,C114*0.737561,"N/A")))</f>
        <v>N/A</v>
      </c>
      <c r="D27" s="114">
        <f t="shared" si="2"/>
        <v>10.373620824913365</v>
      </c>
      <c r="E27" s="114">
        <f t="shared" si="2"/>
        <v>13.247674330588719</v>
      </c>
      <c r="F27" s="114">
        <f t="shared" si="2"/>
        <v>17.130846882432056</v>
      </c>
      <c r="G27" s="114">
        <f t="shared" si="2"/>
        <v>24.670353656823657</v>
      </c>
      <c r="H27" s="114">
        <f t="shared" si="2"/>
        <v>47.661216500818476</v>
      </c>
      <c r="I27" s="114">
        <f t="shared" si="2"/>
        <v>73.853223999230408</v>
      </c>
      <c r="J27" s="114">
        <f t="shared" si="2"/>
        <v>148.26433347443023</v>
      </c>
      <c r="K27" s="114">
        <f t="shared" si="2"/>
        <v>193.59619716865313</v>
      </c>
      <c r="L27" s="114">
        <f t="shared" si="2"/>
        <v>272.66337295208001</v>
      </c>
      <c r="M27" s="114">
        <f t="shared" si="2"/>
        <v>379.26120391546021</v>
      </c>
      <c r="N27" s="115">
        <f t="shared" si="2"/>
        <v>379.26120391546021</v>
      </c>
      <c r="O27" s="100"/>
      <c r="P27" s="100"/>
      <c r="Q27" s="100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</row>
    <row r="28" spans="1:72" s="37" customFormat="1" ht="14.1" customHeight="1" x14ac:dyDescent="0.2">
      <c r="A28" s="43"/>
      <c r="B28" s="74" t="str">
        <f>IF(D9="gpm","NPSHr  -  ft",IF(D9="usgpm","NPSHr  -  ft","NPSHr  -  m"))</f>
        <v>NPSHr  -  ft</v>
      </c>
      <c r="C28" s="113" t="str">
        <f t="shared" ref="C28:N28" si="3">IF(C25="N/A","N/A",IF(C116="N/A","N/A",IF($B$28="NPSHr  -  m",IF(C96&lt;15,C96,"N/A"),IF(C96&lt;15,C96*3.28083,"N/A"))))</f>
        <v>N/A</v>
      </c>
      <c r="D28" s="114">
        <f t="shared" si="3"/>
        <v>8.576940128636851</v>
      </c>
      <c r="E28" s="114">
        <f t="shared" si="3"/>
        <v>8.2855314174540453</v>
      </c>
      <c r="F28" s="114">
        <f t="shared" si="3"/>
        <v>7.8473266290123016</v>
      </c>
      <c r="G28" s="114">
        <f t="shared" si="3"/>
        <v>6.0546899486176233</v>
      </c>
      <c r="H28" s="114">
        <f t="shared" si="3"/>
        <v>6.6170065663303594</v>
      </c>
      <c r="I28" s="114">
        <f t="shared" si="3"/>
        <v>5.4909818576758447</v>
      </c>
      <c r="J28" s="114">
        <f t="shared" si="3"/>
        <v>5.9506932781849695</v>
      </c>
      <c r="K28" s="114">
        <f t="shared" si="3"/>
        <v>5.4055098195617486</v>
      </c>
      <c r="L28" s="114">
        <f t="shared" si="3"/>
        <v>5.78096656226547</v>
      </c>
      <c r="M28" s="114">
        <f t="shared" si="3"/>
        <v>5.2652042379810862</v>
      </c>
      <c r="N28" s="115">
        <f t="shared" si="3"/>
        <v>5.2826329104925351</v>
      </c>
      <c r="O28" s="100"/>
      <c r="P28" s="100"/>
      <c r="Q28" s="101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</row>
    <row r="29" spans="1:72" s="37" customFormat="1" ht="14.1" customHeight="1" thickBot="1" x14ac:dyDescent="0.25">
      <c r="A29" s="43"/>
      <c r="B29" s="122" t="str">
        <f>IF(D9="gpm","NPSHr  -  ft - Rect Inlet",IF(D9="usgpm","NPSHr  -  ft - Rect Inlet","NPSHr - m - Rect Inlet"))</f>
        <v>NPSHr  -  ft - Rect Inlet</v>
      </c>
      <c r="C29" s="214"/>
      <c r="D29" s="215"/>
      <c r="E29" s="195">
        <f t="shared" ref="E29:L29" si="4">IF(E25="N/A","N/A",IF(E116="N/A","N/A",IF($B$29="NPSHr - m - Rect Inlet",IF(E123&lt;15,E123,"N/A"),IF(E123&lt;15,E123*3.2808,"N/A"))))</f>
        <v>7.7878662481232501</v>
      </c>
      <c r="F29" s="195">
        <f t="shared" si="4"/>
        <v>7.3842722227170583</v>
      </c>
      <c r="G29" s="195">
        <f t="shared" si="4"/>
        <v>5.8731164100703239</v>
      </c>
      <c r="H29" s="195">
        <f t="shared" si="4"/>
        <v>6.2550113304119712</v>
      </c>
      <c r="I29" s="195">
        <f t="shared" si="4"/>
        <v>5.4008172509575436</v>
      </c>
      <c r="J29" s="195">
        <f t="shared" si="4"/>
        <v>5.8105338368046038</v>
      </c>
      <c r="K29" s="195">
        <f t="shared" si="4"/>
        <v>5.3536642569525057</v>
      </c>
      <c r="L29" s="195">
        <f t="shared" si="4"/>
        <v>5.6948229837962892</v>
      </c>
      <c r="M29" s="215"/>
      <c r="N29" s="216"/>
      <c r="O29" s="100"/>
      <c r="P29" s="100"/>
      <c r="Q29" s="100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</row>
    <row r="30" spans="1:72" s="37" customFormat="1" ht="14.1" customHeight="1" x14ac:dyDescent="0.2">
      <c r="A30" s="43"/>
      <c r="B30" s="70" t="str">
        <f>CONCATENATE("Possible ",D9," flow variation at ",C11,D11," ± ")</f>
        <v xml:space="preserve">Possible gpm flow variation at 300cP ± </v>
      </c>
      <c r="C30" s="148" t="str">
        <f t="shared" ref="C30:N30" si="5">IF(C25="N/A","N/A",IF($D$9="l/m",C140,IF($D$9="m³/hr",C140/$X$2,IF($D$9="gpm",C140/$X$4,IF($D$9="l/s",C140/$X$5,IF($D$9="l/hr",C140/$X$6,IF($D$9="usgpm",C140/$X$3)))))))</f>
        <v>N/A</v>
      </c>
      <c r="D30" s="149">
        <f t="shared" si="5"/>
        <v>8.0059588658941944E-2</v>
      </c>
      <c r="E30" s="149">
        <f t="shared" si="5"/>
        <v>0.13830584011805624</v>
      </c>
      <c r="F30" s="149">
        <f t="shared" si="5"/>
        <v>0.13304588646703397</v>
      </c>
      <c r="G30" s="149">
        <f t="shared" si="5"/>
        <v>0.18564542297725667</v>
      </c>
      <c r="H30" s="149">
        <f t="shared" si="5"/>
        <v>0.27266671499784578</v>
      </c>
      <c r="I30" s="149">
        <f t="shared" si="5"/>
        <v>0.43162560842212183</v>
      </c>
      <c r="J30" s="149">
        <f t="shared" si="5"/>
        <v>0.34034994212497055</v>
      </c>
      <c r="K30" s="149">
        <f t="shared" si="5"/>
        <v>0.45483128629427894</v>
      </c>
      <c r="L30" s="149">
        <f t="shared" si="5"/>
        <v>0.43897407308163822</v>
      </c>
      <c r="M30" s="149">
        <f t="shared" si="5"/>
        <v>0.6932696264306929</v>
      </c>
      <c r="N30" s="150">
        <f t="shared" si="5"/>
        <v>0.73871407893033381</v>
      </c>
      <c r="O30" s="100"/>
      <c r="P30" s="100"/>
      <c r="Q30" s="100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</row>
    <row r="31" spans="1:72" s="37" customFormat="1" ht="14.1" customHeight="1" thickBot="1" x14ac:dyDescent="0.25">
      <c r="A31" s="43"/>
      <c r="B31" s="122" t="s">
        <v>110</v>
      </c>
      <c r="C31" s="123" t="str">
        <f t="shared" ref="C31:N31" si="6">IF(C25="N/A","N/A",IF(C149="N/A"," ",(C149)))</f>
        <v>N/A</v>
      </c>
      <c r="D31" s="152">
        <f t="shared" si="6"/>
        <v>4.3850392232012858</v>
      </c>
      <c r="E31" s="152">
        <f t="shared" si="6"/>
        <v>5.6644240839096804</v>
      </c>
      <c r="F31" s="152">
        <f t="shared" si="6"/>
        <v>2.9942516836667887</v>
      </c>
      <c r="G31" s="152">
        <f t="shared" si="6"/>
        <v>2.696361572631063</v>
      </c>
      <c r="H31" s="152">
        <f t="shared" si="6"/>
        <v>1.7861209967117964</v>
      </c>
      <c r="I31" s="152">
        <f t="shared" si="6"/>
        <v>1.7441864226159471</v>
      </c>
      <c r="J31" s="152">
        <f t="shared" si="6"/>
        <v>0.85959008283043969</v>
      </c>
      <c r="K31" s="152">
        <f t="shared" si="6"/>
        <v>0.82708194878885233</v>
      </c>
      <c r="L31" s="152">
        <f t="shared" si="6"/>
        <v>0.56790453097434568</v>
      </c>
      <c r="M31" s="152">
        <f t="shared" si="6"/>
        <v>0.6003176195351545</v>
      </c>
      <c r="N31" s="124">
        <f t="shared" si="6"/>
        <v>0.63966898371667791</v>
      </c>
      <c r="O31" s="100"/>
      <c r="P31" s="100"/>
      <c r="Q31" s="100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</row>
    <row r="32" spans="1:72" s="37" customFormat="1" ht="14.1" hidden="1" customHeight="1" thickBot="1" x14ac:dyDescent="0.25">
      <c r="A32" s="43"/>
      <c r="B32" s="181" t="s">
        <v>127</v>
      </c>
      <c r="C32" s="183" t="str">
        <f t="shared" ref="C32:K32" si="7">IF(C25="N/A","N/A",IF(C145="N/A"," ",(C145)))</f>
        <v>N/A</v>
      </c>
      <c r="D32" s="184">
        <f t="shared" si="7"/>
        <v>0.25582573033328659</v>
      </c>
      <c r="E32" s="184">
        <f t="shared" si="7"/>
        <v>0.2869467985593977</v>
      </c>
      <c r="F32" s="184">
        <f t="shared" si="7"/>
        <v>0.34110097377771537</v>
      </c>
      <c r="G32" s="184">
        <f t="shared" si="7"/>
        <v>0.4008815568109233</v>
      </c>
      <c r="H32" s="184">
        <f t="shared" si="7"/>
        <v>0.51165146066657319</v>
      </c>
      <c r="I32" s="184">
        <f t="shared" si="7"/>
        <v>0.61187184986930399</v>
      </c>
      <c r="J32" s="184">
        <f t="shared" si="7"/>
        <v>0.80352136606399971</v>
      </c>
      <c r="K32" s="184">
        <f t="shared" si="7"/>
        <v>0.84396117223352274</v>
      </c>
      <c r="L32" s="179"/>
      <c r="M32" s="179"/>
      <c r="N32" s="180"/>
      <c r="O32" s="100"/>
      <c r="P32" s="100"/>
      <c r="Q32" s="100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</row>
    <row r="33" spans="1:72" s="37" customFormat="1" ht="14.1" customHeight="1" x14ac:dyDescent="0.2">
      <c r="A33" s="43"/>
      <c r="B33" s="70" t="s">
        <v>106</v>
      </c>
      <c r="C33" s="161" t="s">
        <v>96</v>
      </c>
      <c r="D33" s="162" t="s">
        <v>96</v>
      </c>
      <c r="E33" s="162" t="s">
        <v>96</v>
      </c>
      <c r="F33" s="162" t="s">
        <v>96</v>
      </c>
      <c r="G33" s="162" t="s">
        <v>96</v>
      </c>
      <c r="H33" s="162" t="s">
        <v>96</v>
      </c>
      <c r="I33" s="162" t="s">
        <v>96</v>
      </c>
      <c r="J33" s="162" t="s">
        <v>96</v>
      </c>
      <c r="K33" s="162" t="s">
        <v>96</v>
      </c>
      <c r="L33" s="162" t="s">
        <v>96</v>
      </c>
      <c r="M33" s="162" t="s">
        <v>96</v>
      </c>
      <c r="N33" s="185" t="s">
        <v>96</v>
      </c>
      <c r="O33"/>
      <c r="P33"/>
      <c r="Q33" s="100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</row>
    <row r="34" spans="1:72" s="37" customFormat="1" ht="14.1" customHeight="1" thickBot="1" x14ac:dyDescent="0.25">
      <c r="A34" s="43"/>
      <c r="B34" s="88" t="s">
        <v>119</v>
      </c>
      <c r="C34" s="163" t="s">
        <v>96</v>
      </c>
      <c r="D34" s="164" t="s">
        <v>96</v>
      </c>
      <c r="E34" s="164" t="s">
        <v>96</v>
      </c>
      <c r="F34" s="164" t="s">
        <v>96</v>
      </c>
      <c r="G34" s="164" t="s">
        <v>96</v>
      </c>
      <c r="H34" s="164" t="s">
        <v>96</v>
      </c>
      <c r="I34" s="164" t="s">
        <v>96</v>
      </c>
      <c r="J34" s="164" t="s">
        <v>96</v>
      </c>
      <c r="K34" s="164" t="s">
        <v>96</v>
      </c>
      <c r="L34" s="164" t="s">
        <v>96</v>
      </c>
      <c r="M34" s="164" t="s">
        <v>96</v>
      </c>
      <c r="N34" s="165" t="s">
        <v>96</v>
      </c>
      <c r="O34" s="146"/>
      <c r="P34" s="100"/>
      <c r="Q34" s="100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</row>
    <row r="35" spans="1:72" s="37" customFormat="1" ht="14.1" customHeight="1" thickBot="1" x14ac:dyDescent="0.25">
      <c r="A35" s="4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100"/>
      <c r="P35" s="100"/>
      <c r="Q35" s="100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</row>
    <row r="36" spans="1:72" s="37" customFormat="1" ht="14.1" customHeight="1" x14ac:dyDescent="0.2">
      <c r="A36" s="43"/>
      <c r="B36" s="209" t="s">
        <v>162</v>
      </c>
      <c r="C36" s="231" t="s">
        <v>164</v>
      </c>
      <c r="D36" s="232"/>
      <c r="E36" s="232"/>
      <c r="F36" s="218" t="s">
        <v>164</v>
      </c>
      <c r="G36" s="232"/>
      <c r="H36" s="218" t="s">
        <v>164</v>
      </c>
      <c r="I36" s="232"/>
      <c r="J36" s="218" t="s">
        <v>164</v>
      </c>
      <c r="K36" s="232"/>
      <c r="L36" s="218" t="s">
        <v>165</v>
      </c>
      <c r="M36" s="219"/>
      <c r="O36" s="100"/>
      <c r="P36" s="100"/>
      <c r="Q36" s="100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</row>
    <row r="37" spans="1:72" s="37" customFormat="1" ht="14.1" customHeight="1" x14ac:dyDescent="0.2">
      <c r="A37" s="43"/>
      <c r="B37" s="104" t="str">
        <f>B25</f>
        <v>RPM Required</v>
      </c>
      <c r="C37" s="198" t="str">
        <f t="shared" ref="C37:M37" si="8">IF(C117&gt;C108,"N/A",(IF(C117&gt;0,C117,"N/A")))</f>
        <v>N/A</v>
      </c>
      <c r="D37" s="197">
        <f t="shared" si="8"/>
        <v>817.57934954986615</v>
      </c>
      <c r="E37" s="197">
        <f t="shared" si="8"/>
        <v>620.0554006428589</v>
      </c>
      <c r="F37" s="197">
        <f t="shared" si="8"/>
        <v>343.9629940014234</v>
      </c>
      <c r="G37" s="197">
        <f t="shared" si="8"/>
        <v>228.64723060184369</v>
      </c>
      <c r="H37" s="197">
        <f t="shared" si="8"/>
        <v>105.93052517741606</v>
      </c>
      <c r="I37" s="197">
        <f t="shared" si="8"/>
        <v>70.324197226076819</v>
      </c>
      <c r="J37" s="197">
        <f t="shared" si="8"/>
        <v>44.196824994374843</v>
      </c>
      <c r="K37" s="197">
        <f t="shared" si="8"/>
        <v>34.91744769049928</v>
      </c>
      <c r="L37" s="197">
        <f t="shared" si="8"/>
        <v>25.543757709541737</v>
      </c>
      <c r="M37" s="199">
        <f t="shared" si="8"/>
        <v>19.656098390544145</v>
      </c>
      <c r="O37" s="100"/>
      <c r="P37" s="100"/>
      <c r="Q37" s="100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</row>
    <row r="38" spans="1:72" s="37" customFormat="1" ht="14.1" customHeight="1" x14ac:dyDescent="0.2">
      <c r="A38" s="43"/>
      <c r="B38" s="74" t="str">
        <f>B26</f>
        <v>Power required  -  HP</v>
      </c>
      <c r="C38" s="110" t="str">
        <f t="shared" ref="C38:M38" si="9">IF(C37="N/A","N/A",IF($B$38="Power required - kw",IF(C114="N/A","N/A",C114*C37/9550),IF(C114="N/A","N/A",C114*C37/9550*1.34)))</f>
        <v>N/A</v>
      </c>
      <c r="D38" s="111">
        <f t="shared" si="9"/>
        <v>1.6134806651822</v>
      </c>
      <c r="E38" s="111">
        <f t="shared" si="9"/>
        <v>1.5626928320748736</v>
      </c>
      <c r="F38" s="111">
        <f t="shared" si="9"/>
        <v>1.120970119470408</v>
      </c>
      <c r="G38" s="111">
        <f t="shared" si="9"/>
        <v>1.0731113865942756</v>
      </c>
      <c r="H38" s="111">
        <f t="shared" si="9"/>
        <v>0.96048310675038573</v>
      </c>
      <c r="I38" s="111">
        <f t="shared" si="9"/>
        <v>0.98804727419534932</v>
      </c>
      <c r="J38" s="111">
        <f t="shared" si="9"/>
        <v>1.2466118289222858</v>
      </c>
      <c r="K38" s="111">
        <f t="shared" si="9"/>
        <v>1.2860054102529401</v>
      </c>
      <c r="L38" s="111">
        <f t="shared" si="9"/>
        <v>1.3249975378149856</v>
      </c>
      <c r="M38" s="112">
        <f t="shared" si="9"/>
        <v>1.4182056754240466</v>
      </c>
      <c r="O38" s="100"/>
      <c r="P38" s="100"/>
      <c r="Q38" s="100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</row>
    <row r="39" spans="1:72" s="37" customFormat="1" ht="14.1" customHeight="1" x14ac:dyDescent="0.2">
      <c r="A39" s="43"/>
      <c r="B39" s="74" t="str">
        <f>B27</f>
        <v>Torque required  -  lb/ft</v>
      </c>
      <c r="C39" s="113" t="str">
        <f>C27</f>
        <v>N/A</v>
      </c>
      <c r="D39" s="114">
        <f t="shared" ref="D39:M39" si="10">D27</f>
        <v>10.373620824913365</v>
      </c>
      <c r="E39" s="114">
        <f t="shared" si="10"/>
        <v>13.247674330588719</v>
      </c>
      <c r="F39" s="114">
        <f t="shared" si="10"/>
        <v>17.130846882432056</v>
      </c>
      <c r="G39" s="114">
        <f t="shared" si="10"/>
        <v>24.670353656823657</v>
      </c>
      <c r="H39" s="114">
        <f t="shared" si="10"/>
        <v>47.661216500818476</v>
      </c>
      <c r="I39" s="114">
        <f t="shared" si="10"/>
        <v>73.853223999230408</v>
      </c>
      <c r="J39" s="114">
        <f t="shared" si="10"/>
        <v>148.26433347443023</v>
      </c>
      <c r="K39" s="114">
        <f t="shared" si="10"/>
        <v>193.59619716865313</v>
      </c>
      <c r="L39" s="114">
        <f t="shared" si="10"/>
        <v>272.66337295208001</v>
      </c>
      <c r="M39" s="115">
        <f t="shared" si="10"/>
        <v>379.26120391546021</v>
      </c>
      <c r="O39" s="100"/>
      <c r="P39" s="100"/>
      <c r="Q39" s="100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</row>
    <row r="40" spans="1:72" s="37" customFormat="1" ht="14.1" customHeight="1" x14ac:dyDescent="0.2">
      <c r="A40" s="43"/>
      <c r="B40" s="74" t="str">
        <f>B28</f>
        <v>NPSHr  -  ft</v>
      </c>
      <c r="C40" s="113" t="str">
        <f t="shared" ref="C40:M40" si="11">IF(C37="N/A","N/A",IF(C117="N/A","N/A",IF($B$40="NPSHr  -  m",IF(C97&lt;15,C97,"N/A"),IF(C97&lt;15,C97*3.28083,"N/A"))))</f>
        <v>N/A</v>
      </c>
      <c r="D40" s="114">
        <f t="shared" si="11"/>
        <v>8.6025539137667693</v>
      </c>
      <c r="E40" s="114">
        <f t="shared" si="11"/>
        <v>8.3072147565399401</v>
      </c>
      <c r="F40" s="114">
        <f t="shared" si="11"/>
        <v>7.8654070145171477</v>
      </c>
      <c r="G40" s="114">
        <f t="shared" si="11"/>
        <v>6.0679991791215997</v>
      </c>
      <c r="H40" s="114">
        <f t="shared" si="11"/>
        <v>6.6311915272209001</v>
      </c>
      <c r="I40" s="114">
        <f t="shared" si="11"/>
        <v>5.4952145400100827</v>
      </c>
      <c r="J40" s="114">
        <f t="shared" si="11"/>
        <v>5.9578435960996527</v>
      </c>
      <c r="K40" s="114">
        <f t="shared" si="11"/>
        <v>5.4118585220553799</v>
      </c>
      <c r="L40" s="114">
        <f t="shared" si="11"/>
        <v>5.7862927263037394</v>
      </c>
      <c r="M40" s="115">
        <f t="shared" si="11"/>
        <v>5.2706013830727612</v>
      </c>
      <c r="O40" s="100"/>
      <c r="P40" s="100"/>
      <c r="Q40" s="100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</row>
    <row r="41" spans="1:72" s="37" customFormat="1" ht="14.1" customHeight="1" thickBot="1" x14ac:dyDescent="0.25">
      <c r="A41" s="43"/>
      <c r="B41" s="122" t="str">
        <f>B29</f>
        <v>NPSHr  -  ft - Rect Inlet</v>
      </c>
      <c r="C41" s="214"/>
      <c r="D41" s="215"/>
      <c r="E41" s="195">
        <f t="shared" ref="E41:L41" si="12">IF(E37="N/A","N/A",IF(E117="N/A","N/A",IF($B$40="NPSHr  -  m",IF(E124&lt;15,E124,"N/A"),IF(E124&lt;15,E124*3.28083,"N/A"))))</f>
        <v>7.806937147501098</v>
      </c>
      <c r="F41" s="195">
        <f t="shared" si="12"/>
        <v>7.4000833349927992</v>
      </c>
      <c r="G41" s="195">
        <f t="shared" si="12"/>
        <v>5.8851293927612831</v>
      </c>
      <c r="H41" s="195">
        <f t="shared" si="12"/>
        <v>6.2670705647558078</v>
      </c>
      <c r="I41" s="195">
        <f t="shared" si="12"/>
        <v>5.4047881775874727</v>
      </c>
      <c r="J41" s="195">
        <f t="shared" si="12"/>
        <v>5.8171429607318013</v>
      </c>
      <c r="K41" s="195">
        <f t="shared" si="12"/>
        <v>5.3597735656763525</v>
      </c>
      <c r="L41" s="195">
        <f t="shared" si="12"/>
        <v>5.6998987341417786</v>
      </c>
      <c r="M41" s="216"/>
      <c r="O41" s="100"/>
      <c r="P41" s="100"/>
      <c r="Q41" s="100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</row>
    <row r="42" spans="1:72" s="37" customFormat="1" ht="14.1" customHeight="1" x14ac:dyDescent="0.2">
      <c r="A42" s="43"/>
      <c r="B42" s="70" t="s">
        <v>106</v>
      </c>
      <c r="C42" s="161" t="s">
        <v>96</v>
      </c>
      <c r="D42" s="162" t="s">
        <v>96</v>
      </c>
      <c r="E42" s="162" t="s">
        <v>96</v>
      </c>
      <c r="F42" s="162" t="s">
        <v>96</v>
      </c>
      <c r="G42" s="162" t="s">
        <v>96</v>
      </c>
      <c r="H42" s="162" t="s">
        <v>96</v>
      </c>
      <c r="I42" s="162" t="s">
        <v>96</v>
      </c>
      <c r="J42" s="162" t="s">
        <v>96</v>
      </c>
      <c r="K42" s="162" t="s">
        <v>96</v>
      </c>
      <c r="L42" s="162" t="s">
        <v>96</v>
      </c>
      <c r="M42" s="185" t="s">
        <v>96</v>
      </c>
      <c r="N42"/>
      <c r="O42"/>
      <c r="P42" s="100"/>
      <c r="Q42" s="100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</row>
    <row r="43" spans="1:72" s="37" customFormat="1" ht="14.1" customHeight="1" thickBot="1" x14ac:dyDescent="0.25">
      <c r="A43" s="43"/>
      <c r="B43" s="88" t="s">
        <v>119</v>
      </c>
      <c r="C43" s="163" t="s">
        <v>96</v>
      </c>
      <c r="D43" s="164" t="s">
        <v>96</v>
      </c>
      <c r="E43" s="164" t="s">
        <v>96</v>
      </c>
      <c r="F43" s="164" t="s">
        <v>96</v>
      </c>
      <c r="G43" s="164" t="s">
        <v>96</v>
      </c>
      <c r="H43" s="164" t="s">
        <v>96</v>
      </c>
      <c r="I43" s="164" t="s">
        <v>96</v>
      </c>
      <c r="J43" s="164" t="s">
        <v>96</v>
      </c>
      <c r="K43" s="164" t="s">
        <v>96</v>
      </c>
      <c r="L43" s="164" t="s">
        <v>96</v>
      </c>
      <c r="M43" s="165" t="s">
        <v>96</v>
      </c>
      <c r="O43" s="146"/>
      <c r="P43" s="100"/>
      <c r="Q43" s="100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</row>
    <row r="44" spans="1:72" s="37" customFormat="1" ht="14.1" customHeight="1" thickBot="1" x14ac:dyDescent="0.25">
      <c r="A44" s="43"/>
      <c r="O44" s="100"/>
      <c r="P44" s="100"/>
      <c r="Q44" s="100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</row>
    <row r="45" spans="1:72" s="37" customFormat="1" ht="14.1" customHeight="1" x14ac:dyDescent="0.2">
      <c r="A45" s="43"/>
      <c r="B45" s="209" t="s">
        <v>162</v>
      </c>
      <c r="C45" s="231" t="s">
        <v>166</v>
      </c>
      <c r="D45" s="232"/>
      <c r="E45" s="232"/>
      <c r="F45" s="218" t="s">
        <v>166</v>
      </c>
      <c r="G45" s="232"/>
      <c r="H45" s="218" t="s">
        <v>166</v>
      </c>
      <c r="I45" s="232"/>
      <c r="J45" s="218" t="s">
        <v>166</v>
      </c>
      <c r="K45" s="219"/>
      <c r="O45" s="100"/>
      <c r="P45" s="98"/>
      <c r="Q45" s="98"/>
      <c r="R45" s="158"/>
      <c r="S45" s="158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</row>
    <row r="46" spans="1:72" s="37" customFormat="1" ht="14.1" customHeight="1" x14ac:dyDescent="0.2">
      <c r="A46" s="43"/>
      <c r="B46" s="104" t="str">
        <f>B25</f>
        <v>RPM Required</v>
      </c>
      <c r="C46" s="198" t="str">
        <f t="shared" ref="C46:K46" si="13">IF(C118&gt;C108,"N/A",(IF(C118&gt;0,C118,"N/A")))</f>
        <v>N/A</v>
      </c>
      <c r="D46" s="197">
        <f t="shared" si="13"/>
        <v>819.99429868728146</v>
      </c>
      <c r="E46" s="197">
        <f t="shared" si="13"/>
        <v>622.26034424599152</v>
      </c>
      <c r="F46" s="197">
        <f t="shared" si="13"/>
        <v>345.50364094331002</v>
      </c>
      <c r="G46" s="197">
        <f t="shared" si="13"/>
        <v>230.53468370268541</v>
      </c>
      <c r="H46" s="197">
        <f t="shared" si="13"/>
        <v>106.46002771402991</v>
      </c>
      <c r="I46" s="197">
        <f t="shared" si="13"/>
        <v>71.599516330785249</v>
      </c>
      <c r="J46" s="197">
        <f t="shared" si="13"/>
        <v>44.719416692459255</v>
      </c>
      <c r="K46" s="199">
        <f t="shared" si="13"/>
        <v>35.423824393839389</v>
      </c>
      <c r="M46" s="61"/>
      <c r="N46" s="62"/>
      <c r="O46" s="100"/>
      <c r="P46" s="98"/>
      <c r="Q46" s="98"/>
      <c r="R46" s="158"/>
      <c r="S46" s="158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</row>
    <row r="47" spans="1:72" s="37" customFormat="1" ht="14.1" customHeight="1" x14ac:dyDescent="0.2">
      <c r="A47" s="43"/>
      <c r="B47" s="74" t="str">
        <f>B26</f>
        <v>Power required  -  HP</v>
      </c>
      <c r="C47" s="110" t="str">
        <f t="shared" ref="C47:K47" si="14">IF(C46="N/A","N/A",IF($B$47="Power required - kw",IF(C114="N/A","N/A",C114*C46/9550),IF(C114="N/A","N/A",C114*C46/9550*1.34)))</f>
        <v>N/A</v>
      </c>
      <c r="D47" s="111">
        <f t="shared" si="14"/>
        <v>1.6182465313244443</v>
      </c>
      <c r="E47" s="111">
        <f t="shared" si="14"/>
        <v>1.5682498348203899</v>
      </c>
      <c r="F47" s="111">
        <f t="shared" si="14"/>
        <v>1.1259910642133801</v>
      </c>
      <c r="G47" s="111">
        <f t="shared" si="14"/>
        <v>1.0819697812874653</v>
      </c>
      <c r="H47" s="111">
        <f t="shared" si="14"/>
        <v>0.96528416140906215</v>
      </c>
      <c r="I47" s="111">
        <f t="shared" si="14"/>
        <v>1.0059653680355898</v>
      </c>
      <c r="J47" s="111">
        <f t="shared" si="14"/>
        <v>1.2613520052270664</v>
      </c>
      <c r="K47" s="112">
        <f t="shared" si="14"/>
        <v>1.3046552034993866</v>
      </c>
      <c r="O47" s="100"/>
      <c r="P47" s="98"/>
      <c r="Q47" s="98"/>
      <c r="R47" s="158"/>
      <c r="S47" s="158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</row>
    <row r="48" spans="1:72" s="37" customFormat="1" ht="14.1" customHeight="1" x14ac:dyDescent="0.2">
      <c r="A48" s="43"/>
      <c r="B48" s="74" t="str">
        <f>B27</f>
        <v>Torque required  -  lb/ft</v>
      </c>
      <c r="C48" s="113" t="str">
        <f>C27</f>
        <v>N/A</v>
      </c>
      <c r="D48" s="114">
        <f t="shared" ref="D48:K48" si="15">D27</f>
        <v>10.373620824913365</v>
      </c>
      <c r="E48" s="114">
        <f t="shared" si="15"/>
        <v>13.247674330588719</v>
      </c>
      <c r="F48" s="114">
        <f t="shared" si="15"/>
        <v>17.130846882432056</v>
      </c>
      <c r="G48" s="114">
        <f t="shared" si="15"/>
        <v>24.670353656823657</v>
      </c>
      <c r="H48" s="114">
        <f t="shared" si="15"/>
        <v>47.661216500818476</v>
      </c>
      <c r="I48" s="114">
        <f t="shared" si="15"/>
        <v>73.853223999230408</v>
      </c>
      <c r="J48" s="114">
        <f t="shared" si="15"/>
        <v>148.26433347443023</v>
      </c>
      <c r="K48" s="115">
        <f t="shared" si="15"/>
        <v>193.59619716865313</v>
      </c>
      <c r="O48" s="100"/>
      <c r="P48" s="98"/>
      <c r="Q48" s="98"/>
      <c r="R48" s="158"/>
      <c r="S48" s="158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</row>
    <row r="49" spans="1:72" s="37" customFormat="1" ht="14.1" customHeight="1" x14ac:dyDescent="0.2">
      <c r="A49" s="43"/>
      <c r="B49" s="106" t="str">
        <f>B28</f>
        <v>NPSHr  -  ft</v>
      </c>
      <c r="C49" s="113" t="str">
        <f t="shared" ref="C49:K49" si="16">IF(C46="N/A","N/A",IF(C118="N/A","N/A",IF($B$40="NPSHr  -  m",IF(C98&lt;15,C98,"N/A"),IF(C98&lt;15,C98*3.28083,"N/A"))))</f>
        <v>N/A</v>
      </c>
      <c r="D49" s="114">
        <f t="shared" si="16"/>
        <v>8.6213196482117649</v>
      </c>
      <c r="E49" s="114">
        <f t="shared" si="16"/>
        <v>8.3266121996568625</v>
      </c>
      <c r="F49" s="114">
        <f t="shared" si="16"/>
        <v>7.8826548056138259</v>
      </c>
      <c r="G49" s="114">
        <f t="shared" si="16"/>
        <v>6.0808962564081384</v>
      </c>
      <c r="H49" s="114">
        <f t="shared" si="16"/>
        <v>6.6373683463302235</v>
      </c>
      <c r="I49" s="114">
        <f t="shared" si="16"/>
        <v>5.5037017882285832</v>
      </c>
      <c r="J49" s="114">
        <f t="shared" si="16"/>
        <v>5.9629877242280775</v>
      </c>
      <c r="K49" s="115">
        <f t="shared" si="16"/>
        <v>5.4153288783050462</v>
      </c>
      <c r="O49" s="100"/>
      <c r="P49" s="98"/>
      <c r="Q49" s="98"/>
      <c r="R49" s="158"/>
      <c r="S49" s="158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</row>
    <row r="50" spans="1:72" s="37" customFormat="1" ht="14.1" customHeight="1" thickBot="1" x14ac:dyDescent="0.25">
      <c r="A50" s="43"/>
      <c r="B50" s="126" t="str">
        <f>B29</f>
        <v>NPSHr  -  ft - Rect Inlet</v>
      </c>
      <c r="C50" s="214"/>
      <c r="D50" s="215"/>
      <c r="E50" s="195">
        <f t="shared" ref="E50:K50" si="17">IF(E46="N/A","N/A",IF(E118="N/A","N/A",IF($B$40="NPSHr  -  m",IF(E125&lt;15,E125,"N/A"),IF(E125&lt;15,E125*3.28083,"N/A"))))</f>
        <v>7.8239338532236111</v>
      </c>
      <c r="F50" s="195">
        <f t="shared" si="17"/>
        <v>7.4151019387530992</v>
      </c>
      <c r="G50" s="195">
        <f t="shared" si="17"/>
        <v>5.8967183224130162</v>
      </c>
      <c r="H50" s="195">
        <f t="shared" si="17"/>
        <v>6.2722968334186975</v>
      </c>
      <c r="I50" s="195">
        <f t="shared" si="17"/>
        <v>5.412651534406681</v>
      </c>
      <c r="J50" s="195">
        <f t="shared" si="17"/>
        <v>5.8218595148799164</v>
      </c>
      <c r="K50" s="196">
        <f t="shared" si="17"/>
        <v>5.3630863037000154</v>
      </c>
      <c r="O50" s="100"/>
      <c r="P50" s="98"/>
      <c r="Q50" s="98"/>
      <c r="R50" s="158"/>
      <c r="S50" s="158"/>
      <c r="T50" s="166"/>
      <c r="U50" s="166"/>
      <c r="AC50" s="166"/>
      <c r="AD50" s="166"/>
      <c r="AE50" s="166"/>
      <c r="AF50" s="166"/>
      <c r="AG50" s="166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</row>
    <row r="51" spans="1:72" s="37" customFormat="1" ht="14.1" customHeight="1" x14ac:dyDescent="0.2">
      <c r="A51" s="43"/>
      <c r="B51" s="70" t="s">
        <v>106</v>
      </c>
      <c r="C51" s="161" t="s">
        <v>96</v>
      </c>
      <c r="D51" s="162" t="s">
        <v>96</v>
      </c>
      <c r="E51" s="162" t="s">
        <v>96</v>
      </c>
      <c r="F51" s="162" t="s">
        <v>96</v>
      </c>
      <c r="G51" s="162" t="s">
        <v>96</v>
      </c>
      <c r="H51" s="162" t="s">
        <v>96</v>
      </c>
      <c r="I51" s="162" t="s">
        <v>96</v>
      </c>
      <c r="J51" s="162" t="s">
        <v>96</v>
      </c>
      <c r="K51" s="185" t="s">
        <v>96</v>
      </c>
      <c r="L51"/>
      <c r="M51"/>
      <c r="O51" s="100"/>
      <c r="P51" s="98"/>
      <c r="Q51" s="98"/>
      <c r="R51" s="158"/>
      <c r="S51" s="158"/>
      <c r="T51" s="166"/>
      <c r="U51" s="166"/>
      <c r="AC51" s="166"/>
      <c r="AD51" s="166"/>
      <c r="AE51" s="166"/>
      <c r="AF51" s="166"/>
      <c r="AG51" s="166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</row>
    <row r="52" spans="1:72" s="37" customFormat="1" ht="14.1" customHeight="1" thickBot="1" x14ac:dyDescent="0.25">
      <c r="A52" s="43"/>
      <c r="B52" s="88" t="s">
        <v>119</v>
      </c>
      <c r="C52" s="163" t="s">
        <v>96</v>
      </c>
      <c r="D52" s="164" t="s">
        <v>96</v>
      </c>
      <c r="E52" s="164" t="s">
        <v>96</v>
      </c>
      <c r="F52" s="164" t="s">
        <v>96</v>
      </c>
      <c r="G52" s="164" t="s">
        <v>96</v>
      </c>
      <c r="H52" s="164" t="s">
        <v>96</v>
      </c>
      <c r="I52" s="164" t="s">
        <v>96</v>
      </c>
      <c r="J52" s="164" t="s">
        <v>96</v>
      </c>
      <c r="K52" s="165" t="s">
        <v>96</v>
      </c>
      <c r="P52" s="98"/>
      <c r="Q52" s="98"/>
      <c r="R52" s="158"/>
      <c r="S52" s="158"/>
      <c r="T52" s="166"/>
      <c r="U52" s="166"/>
      <c r="AC52" s="166"/>
      <c r="AD52" s="166"/>
      <c r="AE52" s="166"/>
      <c r="AF52" s="172"/>
      <c r="AG52" s="172"/>
    </row>
    <row r="53" spans="1:72" s="2" customFormat="1" ht="14.1" customHeight="1" x14ac:dyDescent="0.2">
      <c r="A53" s="7"/>
      <c r="B53" s="14"/>
      <c r="C53" s="15"/>
      <c r="D53" s="15"/>
      <c r="E53" s="15"/>
      <c r="F53" s="15"/>
      <c r="G53" s="15"/>
      <c r="H53" s="15"/>
      <c r="I53" s="15"/>
      <c r="K53" s="15"/>
      <c r="L53" s="15"/>
      <c r="M53" s="15"/>
      <c r="N53" s="15"/>
      <c r="R53" s="174"/>
      <c r="S53" s="174"/>
      <c r="T53" s="167"/>
      <c r="U53" s="167"/>
      <c r="AC53" s="167"/>
      <c r="AD53" s="167"/>
      <c r="AE53" s="167"/>
      <c r="AF53" s="174"/>
      <c r="AG53" s="174"/>
    </row>
    <row r="54" spans="1:72" s="2" customFormat="1" ht="14.1" customHeight="1" x14ac:dyDescent="0.2">
      <c r="A54" s="7"/>
      <c r="B54" s="14"/>
      <c r="C54" s="200"/>
      <c r="D54" s="200"/>
      <c r="E54" s="200"/>
      <c r="F54" s="200"/>
      <c r="G54" s="200"/>
      <c r="H54" s="200"/>
      <c r="I54" s="200"/>
      <c r="K54" s="200"/>
      <c r="L54" s="200"/>
      <c r="M54" s="200"/>
      <c r="N54" s="200"/>
      <c r="R54" s="174"/>
      <c r="S54" s="174"/>
      <c r="T54" s="167"/>
      <c r="U54" s="167"/>
      <c r="AC54" s="167"/>
      <c r="AD54" s="167"/>
      <c r="AE54" s="167"/>
      <c r="AF54" s="174"/>
      <c r="AG54" s="174"/>
    </row>
    <row r="55" spans="1:72" s="2" customFormat="1" ht="12.75" hidden="1" customHeight="1" x14ac:dyDescent="0.2">
      <c r="A55" s="7"/>
      <c r="B55" s="24" t="s">
        <v>30</v>
      </c>
      <c r="C55" s="10">
        <f t="shared" ref="C55:N55" si="18">IF($X$19&lt;1,"N/A",IF($X$19&gt;=500,0,(-0.4*LN($X$19)^0.5015)+1))</f>
        <v>4.2198058611676137E-2</v>
      </c>
      <c r="D55" s="10">
        <f t="shared" si="18"/>
        <v>4.2198058611676137E-2</v>
      </c>
      <c r="E55" s="10">
        <f t="shared" si="18"/>
        <v>4.2198058611676137E-2</v>
      </c>
      <c r="F55" s="10">
        <f t="shared" si="18"/>
        <v>4.2198058611676137E-2</v>
      </c>
      <c r="G55" s="10">
        <f t="shared" si="18"/>
        <v>4.2198058611676137E-2</v>
      </c>
      <c r="H55" s="10">
        <f t="shared" si="18"/>
        <v>4.2198058611676137E-2</v>
      </c>
      <c r="I55" s="10">
        <f t="shared" si="18"/>
        <v>4.2198058611676137E-2</v>
      </c>
      <c r="J55" s="10">
        <f t="shared" si="18"/>
        <v>4.2198058611676137E-2</v>
      </c>
      <c r="K55" s="10">
        <f t="shared" si="18"/>
        <v>4.2198058611676137E-2</v>
      </c>
      <c r="L55" s="10">
        <f t="shared" si="18"/>
        <v>4.2198058611676137E-2</v>
      </c>
      <c r="M55" s="10">
        <f t="shared" si="18"/>
        <v>4.2198058611676137E-2</v>
      </c>
      <c r="N55" s="10">
        <f t="shared" si="18"/>
        <v>4.2198058611676137E-2</v>
      </c>
      <c r="R55" s="174"/>
      <c r="S55" s="174"/>
      <c r="T55" s="167"/>
      <c r="U55" s="167"/>
      <c r="AC55" s="167"/>
      <c r="AD55" s="167"/>
      <c r="AE55" s="167"/>
      <c r="AF55" s="174"/>
      <c r="AG55" s="174"/>
    </row>
    <row r="56" spans="1:72" s="2" customFormat="1" ht="12.75" hidden="1" customHeight="1" x14ac:dyDescent="0.2">
      <c r="A56" s="7"/>
      <c r="B56" s="24"/>
      <c r="C56" s="32">
        <v>2.0000000000000001E-4</v>
      </c>
      <c r="D56" s="32">
        <v>7.1000000000000004E-3</v>
      </c>
      <c r="E56" s="32">
        <v>-3.3773555013406624</v>
      </c>
      <c r="F56" s="32">
        <v>5.0000000000000001E-3</v>
      </c>
      <c r="G56" s="20">
        <v>0.3</v>
      </c>
      <c r="H56" s="20">
        <v>0.11</v>
      </c>
      <c r="I56" s="20">
        <v>-12.204677946364088</v>
      </c>
      <c r="J56" s="58">
        <v>0</v>
      </c>
      <c r="K56" s="32">
        <v>2.5</v>
      </c>
      <c r="L56" s="20">
        <v>28.849509723245571</v>
      </c>
      <c r="M56" s="32">
        <v>2.9</v>
      </c>
      <c r="N56" s="32">
        <v>2.9</v>
      </c>
      <c r="P56" s="25"/>
      <c r="Q56" s="25"/>
      <c r="R56" s="143"/>
      <c r="S56" s="143"/>
      <c r="T56" s="143"/>
      <c r="U56" s="143"/>
      <c r="AC56" s="174"/>
      <c r="AD56" s="174"/>
      <c r="AE56" s="174"/>
      <c r="AF56" s="174"/>
      <c r="AG56" s="174"/>
    </row>
    <row r="57" spans="1:72" s="2" customFormat="1" ht="12.75" hidden="1" customHeight="1" x14ac:dyDescent="0.2">
      <c r="A57" s="7"/>
      <c r="B57" s="24"/>
      <c r="C57" s="32">
        <v>6.7000000000000002E-3</v>
      </c>
      <c r="D57" s="32">
        <v>0.17760000000000001</v>
      </c>
      <c r="E57" s="32">
        <v>-20.569468338220588</v>
      </c>
      <c r="F57" s="32">
        <v>0.35</v>
      </c>
      <c r="G57" s="20">
        <v>0.01</v>
      </c>
      <c r="H57" s="20">
        <v>0.75</v>
      </c>
      <c r="I57" s="20">
        <v>56.148211583445715</v>
      </c>
      <c r="J57" s="32">
        <v>0.8</v>
      </c>
      <c r="K57" s="32">
        <v>9.4328249999999993</v>
      </c>
      <c r="L57" s="20">
        <v>123.36143391665482</v>
      </c>
      <c r="M57" s="32">
        <v>13.5</v>
      </c>
      <c r="N57" s="32">
        <v>13.5</v>
      </c>
      <c r="R57" s="174"/>
      <c r="S57" s="174"/>
      <c r="T57" s="174"/>
      <c r="U57" s="174"/>
      <c r="AC57" s="174"/>
      <c r="AD57" s="174"/>
      <c r="AE57" s="174"/>
      <c r="AF57" s="174"/>
      <c r="AG57" s="174"/>
    </row>
    <row r="58" spans="1:72" s="2" customFormat="1" ht="12.75" hidden="1" customHeight="1" x14ac:dyDescent="0.2">
      <c r="A58" s="7"/>
      <c r="B58" s="24"/>
      <c r="C58" s="32">
        <v>0.1079</v>
      </c>
      <c r="D58" s="32">
        <v>1.7173</v>
      </c>
      <c r="E58" s="32">
        <v>-41.002402210892349</v>
      </c>
      <c r="F58" s="32">
        <v>1</v>
      </c>
      <c r="G58" s="20">
        <v>3.4</v>
      </c>
      <c r="H58" s="20">
        <v>0.8</v>
      </c>
      <c r="I58" s="20">
        <v>60.438840309497259</v>
      </c>
      <c r="J58" s="32">
        <v>1.3</v>
      </c>
      <c r="K58" s="32">
        <v>3</v>
      </c>
      <c r="L58" s="20">
        <v>117.31188037256503</v>
      </c>
      <c r="M58" s="32">
        <v>3</v>
      </c>
      <c r="N58" s="32">
        <v>3</v>
      </c>
      <c r="R58" s="174"/>
      <c r="S58" s="174"/>
      <c r="T58" s="174"/>
      <c r="U58" s="174"/>
      <c r="AC58" s="174"/>
      <c r="AD58" s="174"/>
      <c r="AE58" s="174"/>
      <c r="AF58" s="174"/>
      <c r="AG58" s="174"/>
    </row>
    <row r="59" spans="1:72" s="2" customFormat="1" ht="12.75" hidden="1" customHeight="1" x14ac:dyDescent="0.2">
      <c r="A59" s="7"/>
      <c r="B59" s="24"/>
      <c r="C59" s="32">
        <v>0.8952</v>
      </c>
      <c r="D59" s="32">
        <v>8.1999999999999993</v>
      </c>
      <c r="E59" s="32">
        <v>-17.929963719386009</v>
      </c>
      <c r="F59" s="32">
        <v>5.1994999999999969</v>
      </c>
      <c r="G59" s="20">
        <v>16.3</v>
      </c>
      <c r="H59" s="20">
        <v>1.4</v>
      </c>
      <c r="I59" s="20">
        <v>-36.370340650495677</v>
      </c>
      <c r="J59" s="32">
        <v>0.25</v>
      </c>
      <c r="K59" s="32">
        <v>0.25</v>
      </c>
      <c r="L59" s="20">
        <v>-91.590925345223482</v>
      </c>
      <c r="M59" s="32">
        <v>0.25</v>
      </c>
      <c r="N59" s="32">
        <v>0.25</v>
      </c>
      <c r="R59" s="174"/>
      <c r="S59" s="174"/>
      <c r="T59" s="174"/>
      <c r="U59" s="174"/>
      <c r="AC59" s="174"/>
      <c r="AD59" s="174"/>
      <c r="AE59" s="174"/>
      <c r="AF59" s="174"/>
      <c r="AG59" s="174"/>
    </row>
    <row r="60" spans="1:72" s="2" customFormat="1" ht="12.75" hidden="1" customHeight="1" x14ac:dyDescent="0.2">
      <c r="A60" s="7"/>
      <c r="B60" s="24"/>
      <c r="C60" s="32">
        <v>4.2591000000000001</v>
      </c>
      <c r="D60" s="32">
        <v>21.3</v>
      </c>
      <c r="E60" s="32">
        <v>42.631622720483286</v>
      </c>
      <c r="F60" s="32">
        <v>27.5</v>
      </c>
      <c r="G60" s="20">
        <v>61.941800000000001</v>
      </c>
      <c r="H60" s="20">
        <v>32.840000000000003</v>
      </c>
      <c r="I60" s="20">
        <v>-8.9392387881358353</v>
      </c>
      <c r="J60" s="32">
        <v>48</v>
      </c>
      <c r="K60" s="32">
        <v>125</v>
      </c>
      <c r="L60" s="20">
        <v>-31.730306215525133</v>
      </c>
      <c r="M60" s="32">
        <v>260</v>
      </c>
      <c r="N60" s="32">
        <v>322.67880000000002</v>
      </c>
      <c r="R60" s="174"/>
      <c r="S60" s="174"/>
      <c r="T60" s="174"/>
      <c r="U60" s="174"/>
      <c r="AC60" s="174"/>
      <c r="AD60" s="174"/>
      <c r="AE60" s="174"/>
      <c r="AF60" s="174"/>
      <c r="AG60" s="174"/>
    </row>
    <row r="61" spans="1:72" s="2" customFormat="1" ht="12.75" hidden="1" customHeight="1" x14ac:dyDescent="0.2">
      <c r="A61" s="7"/>
      <c r="B61" s="24"/>
      <c r="C61" s="32">
        <v>13.3</v>
      </c>
      <c r="D61" s="32">
        <v>36.1</v>
      </c>
      <c r="E61" s="32"/>
      <c r="F61" s="32">
        <v>67.762</v>
      </c>
      <c r="G61" s="20">
        <v>125</v>
      </c>
      <c r="H61" s="20">
        <v>121</v>
      </c>
      <c r="I61" s="20">
        <v>217.29191645020848</v>
      </c>
      <c r="J61" s="32">
        <v>207</v>
      </c>
      <c r="K61" s="32">
        <v>380</v>
      </c>
      <c r="L61" s="20">
        <v>397.2995004077452</v>
      </c>
      <c r="M61" s="32">
        <v>734</v>
      </c>
      <c r="N61" s="32">
        <v>1000</v>
      </c>
      <c r="R61" s="174"/>
      <c r="S61" s="174"/>
      <c r="T61" s="174"/>
      <c r="U61" s="174"/>
      <c r="AC61" s="174"/>
      <c r="AD61" s="174"/>
      <c r="AE61" s="174"/>
      <c r="AF61" s="174"/>
      <c r="AG61" s="174"/>
    </row>
    <row r="62" spans="1:72" s="2" customFormat="1" ht="12.75" hidden="1" customHeight="1" x14ac:dyDescent="0.2">
      <c r="A62" s="7"/>
      <c r="B62" s="24" t="s">
        <v>31</v>
      </c>
      <c r="C62" s="33">
        <v>1</v>
      </c>
      <c r="D62" s="33">
        <v>1</v>
      </c>
      <c r="E62" s="33">
        <v>1</v>
      </c>
      <c r="F62" s="33">
        <v>1</v>
      </c>
      <c r="G62" s="33">
        <v>1</v>
      </c>
      <c r="H62" s="33">
        <v>1</v>
      </c>
      <c r="I62" s="33">
        <v>1</v>
      </c>
      <c r="J62" s="33">
        <v>1</v>
      </c>
      <c r="K62" s="33">
        <v>1</v>
      </c>
      <c r="L62" s="33">
        <v>1</v>
      </c>
      <c r="M62" s="33">
        <v>1</v>
      </c>
      <c r="N62" s="33">
        <v>1</v>
      </c>
      <c r="R62" s="174"/>
      <c r="S62" s="174"/>
      <c r="T62" s="174"/>
      <c r="U62" s="174"/>
      <c r="AC62" s="174"/>
      <c r="AD62" s="174"/>
      <c r="AE62" s="174"/>
      <c r="AF62" s="174"/>
      <c r="AG62" s="174"/>
    </row>
    <row r="63" spans="1:72" s="2" customFormat="1" ht="12.75" hidden="1" customHeight="1" x14ac:dyDescent="0.2">
      <c r="A63" s="7"/>
      <c r="B63" s="24"/>
      <c r="C63" s="33">
        <v>2.7000000000000001E-3</v>
      </c>
      <c r="D63" s="33">
        <v>4.0000000000000001E-3</v>
      </c>
      <c r="E63" s="33">
        <v>0.03</v>
      </c>
      <c r="F63" s="33">
        <v>1E-4</v>
      </c>
      <c r="G63" s="20">
        <v>1.4999999999999999E-2</v>
      </c>
      <c r="H63" s="20">
        <v>1E-4</v>
      </c>
      <c r="I63" s="20">
        <v>2.7</v>
      </c>
      <c r="J63" s="33">
        <v>1.6</v>
      </c>
      <c r="K63" s="33">
        <v>0.03</v>
      </c>
      <c r="L63" s="20">
        <v>2.35</v>
      </c>
      <c r="M63" s="33">
        <v>0.5</v>
      </c>
      <c r="N63" s="33">
        <v>0.8</v>
      </c>
      <c r="P63" s="25"/>
      <c r="Q63" s="25"/>
      <c r="R63" s="143"/>
      <c r="S63" s="143"/>
      <c r="T63" s="143"/>
      <c r="U63" s="143"/>
      <c r="AC63" s="174"/>
      <c r="AD63" s="174"/>
      <c r="AE63" s="174"/>
      <c r="AF63" s="174"/>
      <c r="AG63" s="174"/>
    </row>
    <row r="64" spans="1:72" s="2" customFormat="1" ht="12.75" hidden="1" customHeight="1" x14ac:dyDescent="0.2">
      <c r="A64" s="7"/>
      <c r="B64" s="24"/>
      <c r="C64" s="33">
        <v>0.15</v>
      </c>
      <c r="D64" s="33">
        <v>0.4</v>
      </c>
      <c r="E64" s="33">
        <v>1.1499999999999999</v>
      </c>
      <c r="F64" s="33">
        <v>0.35</v>
      </c>
      <c r="G64" s="20">
        <v>1.1000000000000001</v>
      </c>
      <c r="H64" s="20">
        <v>0.56999999999999995</v>
      </c>
      <c r="I64" s="20">
        <v>60</v>
      </c>
      <c r="J64" s="33">
        <v>51</v>
      </c>
      <c r="K64" s="33">
        <v>3.8</v>
      </c>
      <c r="L64" s="20">
        <v>82.6</v>
      </c>
      <c r="M64" s="33">
        <v>11.8</v>
      </c>
      <c r="N64" s="33">
        <v>16</v>
      </c>
      <c r="R64" s="174"/>
      <c r="S64" s="174"/>
      <c r="T64" s="174"/>
      <c r="U64" s="174"/>
      <c r="AC64" s="174"/>
      <c r="AD64" s="174"/>
      <c r="AE64" s="174"/>
      <c r="AF64" s="174"/>
      <c r="AG64" s="174"/>
    </row>
    <row r="65" spans="1:33" s="2" customFormat="1" ht="12.75" hidden="1" customHeight="1" x14ac:dyDescent="0.2">
      <c r="A65" s="7"/>
      <c r="B65" s="24"/>
      <c r="C65" s="34">
        <v>4.0999999999999996</v>
      </c>
      <c r="D65" s="34">
        <v>8.1999999999999993</v>
      </c>
      <c r="E65" s="34">
        <v>13.9</v>
      </c>
      <c r="F65" s="34">
        <v>11.7</v>
      </c>
      <c r="G65" s="57">
        <v>20.100000000000001</v>
      </c>
      <c r="H65" s="57">
        <v>25.8</v>
      </c>
      <c r="I65" s="57">
        <v>118.79999999999998</v>
      </c>
      <c r="J65" s="34">
        <v>133.19999999999999</v>
      </c>
      <c r="K65" s="34">
        <v>84</v>
      </c>
      <c r="L65" s="20">
        <v>257.2</v>
      </c>
      <c r="M65" s="34">
        <v>152</v>
      </c>
      <c r="N65" s="34">
        <v>210</v>
      </c>
      <c r="R65" s="174"/>
      <c r="S65" s="174"/>
      <c r="T65" s="174"/>
      <c r="U65" s="174"/>
      <c r="AC65" s="174"/>
      <c r="AD65" s="174"/>
      <c r="AE65" s="174"/>
      <c r="AF65" s="174"/>
      <c r="AG65" s="174"/>
    </row>
    <row r="66" spans="1:33" s="2" customFormat="1" ht="12.75" hidden="1" customHeight="1" x14ac:dyDescent="0.2">
      <c r="A66" s="7"/>
      <c r="B66" s="24"/>
      <c r="C66" s="33">
        <v>7.5788000000000002</v>
      </c>
      <c r="D66" s="33">
        <v>15.52</v>
      </c>
      <c r="E66" s="33">
        <v>26.560000000000013</v>
      </c>
      <c r="F66" s="33">
        <v>39.999199999999973</v>
      </c>
      <c r="G66" s="20">
        <v>61.832800000000013</v>
      </c>
      <c r="H66" s="20">
        <v>76.679199999999994</v>
      </c>
      <c r="I66" s="33"/>
      <c r="J66" s="33"/>
      <c r="K66" s="33">
        <v>202.81039999999996</v>
      </c>
      <c r="L66" s="33"/>
      <c r="M66" s="33">
        <v>367.6</v>
      </c>
      <c r="N66" s="33">
        <v>547.28480000000002</v>
      </c>
      <c r="R66" s="174"/>
      <c r="S66" s="174"/>
      <c r="T66" s="174"/>
      <c r="U66" s="174"/>
      <c r="AC66" s="174"/>
      <c r="AD66" s="174"/>
      <c r="AE66" s="174"/>
      <c r="AF66" s="174"/>
      <c r="AG66" s="174"/>
    </row>
    <row r="67" spans="1:33" s="2" customFormat="1" ht="12.75" hidden="1" customHeight="1" x14ac:dyDescent="0.2">
      <c r="A67" s="7"/>
      <c r="B67" s="24"/>
      <c r="C67" s="10"/>
      <c r="D67" s="10"/>
      <c r="E67" s="10"/>
      <c r="F67" s="10"/>
      <c r="G67" s="10"/>
      <c r="H67" s="10"/>
      <c r="I67" s="10"/>
      <c r="J67" s="10"/>
      <c r="K67" s="32"/>
      <c r="L67" s="32"/>
      <c r="M67" s="32"/>
      <c r="N67" s="32"/>
      <c r="P67" s="25"/>
      <c r="Q67" s="25"/>
      <c r="R67" s="143"/>
      <c r="S67" s="143"/>
      <c r="T67" s="143"/>
      <c r="U67" s="143"/>
      <c r="AC67" s="174"/>
      <c r="AD67" s="174"/>
      <c r="AE67" s="174"/>
      <c r="AF67" s="174"/>
      <c r="AG67" s="174"/>
    </row>
    <row r="68" spans="1:33" s="2" customFormat="1" ht="12.75" hidden="1" customHeight="1" x14ac:dyDescent="0.2">
      <c r="A68" s="7"/>
      <c r="B68" s="24"/>
      <c r="C68" s="59"/>
      <c r="D68" s="59"/>
      <c r="E68" s="59"/>
      <c r="F68" s="59"/>
      <c r="G68" s="59"/>
      <c r="H68" s="59"/>
      <c r="I68" s="59"/>
      <c r="J68" s="59"/>
      <c r="K68" s="60"/>
      <c r="L68" s="60"/>
      <c r="M68" s="60"/>
      <c r="N68" s="60"/>
      <c r="P68" s="25"/>
      <c r="Q68" s="25"/>
      <c r="R68" s="143"/>
      <c r="S68" s="143"/>
      <c r="T68" s="143"/>
      <c r="U68" s="143"/>
      <c r="AC68" s="174"/>
      <c r="AD68" s="174"/>
      <c r="AE68" s="174"/>
      <c r="AF68" s="174"/>
      <c r="AG68" s="174"/>
    </row>
    <row r="69" spans="1:33" s="2" customFormat="1" ht="12.75" hidden="1" customHeight="1" x14ac:dyDescent="0.2">
      <c r="A69" s="7"/>
      <c r="B69" s="24" t="s">
        <v>61</v>
      </c>
      <c r="C69" s="8">
        <f>IF(D13="Yes",C145+IF($X$18&lt;0,"N/A",IF($X$18&lt;2,(-(C56*$X$18^6)+(C57*$X$18^5)-(C58*$X$18^4)+(C59*$X$18^3)-(C60*$X$18^2)+(C61*$X$18))*C62*C55,((((C63*$X$18^3)-(C64*$X$18^2)+(C65*$X$18))+C66)*C62*C55))),IF($X$18&lt;0,"N/A",IF($X$18&lt;2,(-(C56*$X$18^6)+(C57*$X$18^5)-(C58*$X$18^4)+(C59*$X$18^3)-(C60*$X$18^2)+(C61*$X$18))*C62*C55,((((C63*$X$18^3)-(C64*$X$18^2)+(C65*$X$18))+C66)*C62*C55))))</f>
        <v>0.85269880774480289</v>
      </c>
      <c r="D69" s="8">
        <f>IF(D13="Yes",D145+IF($X$18&lt;0,"N/A",IF($X$18&lt;2,(-(D56*$X$18^6)+(D57*$X$18^5)-(D58*$X$18^4)+(D59*$X$18^3)-(D60*$X$18^2)+(D61*$X$18))*D62*D55,((((D63*$X$18^3)-(D64*$X$18^2)+(D65*$X$18))+D66)*D62*D55))),IF($X$18&lt;0,"N/A",IF($X$18&lt;2,(-(D56*$X$18^6)+(D57*$X$18^5)-(D58*$X$18^4)+(D59*$X$18^3)-(D60*$X$18^2)+(D61*$X$18))*D62*D55,((((D63*$X$18^3)-(D64*$X$18^2)+(D65*$X$18))+D66)*D62*D55))))</f>
        <v>1.6664646316630078</v>
      </c>
      <c r="E69" s="8">
        <f>IF(D13="Yes",E145+IF($X$18&lt;0,"N/A",IF($X$18&lt;2,(((E56*$X$18^5)-(E57*$X$18^4)+(E58*$X$18^3)-(E59*$X$18^2)+(E60*$X$18))*E62*E55),((((E63*$X$18^3)-(E64*$X$18^2)+(E65*$X$18))+E66)*E62*E55))),IF($X$18&lt;0,"N/A",IF($X$18&lt;2,(((E56*$X$18^5)-(E57*$X$18^4)+(E58*$X$18^3)-(E59*$X$18^2)+(E60*$X$18))*E62*E55),((((E63*$X$18^3)-(E64*$X$18^2)+(E65*$X$18))+E66)*E62*E55))))</f>
        <v>2.6335280903814438</v>
      </c>
      <c r="F69" s="8">
        <f>IF(D13="Yes",F145+IF($X$18&lt;0,"N/A",IF($X$18&lt;2,(-(F56*$X$18^6)+(F57*$X$18^5)-(F58*$X$18^4)+(F59*$X$18^3)-(F60*$X$18^2)+(F61*$X$18))*F62*F55,((((F63*$X$18^3)-(F64*$X$18^2)+(F65*$X$18))+F66)*F62*F55))),IF($X$18&lt;0,"N/A",IF($X$18&lt;2,(-(F56*$X$18^6)+(F57*$X$18^5)-(F58*$X$18^4)+(F59*$X$18^3)-(F60*$X$18^2)+(F61*$X$18))*F62*F55,((((F63*$X$18^3)-(F64*$X$18^2)+(F65*$X$18))+F66)*F62*F55))))</f>
        <v>3.235155834047029</v>
      </c>
      <c r="G69" s="8">
        <f>IF(D13="Yes",G145+IF($X$18&lt;0,"N/A",IF($X$18&lt;2,((G56*$X$18^6)+(G57*$X$18^5)-(G58*$X$18^4)+(G59*$X$18^3)-(G60*$X$18^2)+(G61*$X$18))*G62*G55,((((G63*$X$18^3)-(G64*$X$18^2)+(G65*$X$18))+G66)*G62*G55))),IF($X$18&lt;0,"N/A",IF($X$18&lt;2,((G56*$X$18^6)+(G57*$X$18^5)-(G58*$X$18^4)+(G59*$X$18^3)-(G60*$X$18^2)+(G61*$X$18))*G62*G55,((((G63*$X$18^3)-(G64*$X$18^2)+(G65*$X$18))+G66)*G62*G55))))</f>
        <v>5.0363773285077631</v>
      </c>
      <c r="H69" s="8">
        <f>IF(D13="Yes",H145+IF($X$18&lt;0,"N/A",IF($X$18&lt;2,(-(H56*$X$18^6)+(H57*$X$18^5)-(H58*$X$18^4)+(H59*$X$18^3)-(H60*$X$18^2)+(H61*$X$18))*H62*H55,((((H63*$X$18^3)-(H64*$X$18^2)+(H65*$X$18)+H66)*H62*H55)))),IF($X$18&lt;0,"N/A",IF($X$18&lt;2,(-(H56*$X$18^6)+(H57*$X$18^5)-(H58*$X$18^4)+(H59*$X$18^3)-(H60*$X$18^2)+(H61*$X$18))*H62*H55,((((H63*$X$18^3)-(H64*$X$18^2)+(H65*$X$18)+H66)*H62*H55)))))</f>
        <v>6.7517310484510613</v>
      </c>
      <c r="I69" s="8">
        <f>IF(D13="Yes",I145+IF($X$18&lt;0,"N/A",IF($X$18&lt;2,((I56*$X$18^6)+(I57*$X$18^5)-(I58*$X$18^4)+(I59*$X$18^3)-(I60*$X$18^2)+(I61*$X$18))*I62*I55,(((-(I63*$X$18^2)+(I64*$X$18)+I65)*I62*I55)))),IF($X$18&lt;0,"N/A",IF($X$18&lt;2,((I56*$X$18^6)+(I57*$X$18^5)-(I58*$X$18^4)+(I59*$X$18^3)-(I60*$X$18^2)+(I61*$X$18))*I62*I55,(((-(I63*$X$18^2)+(I64*$X$18)+I65)*I62*I55)))))</f>
        <v>12.479020882937926</v>
      </c>
      <c r="J69" s="8">
        <f>IF(D13="Yes",J145+IF($X$18&lt;0,"N/A",IF($X$18&lt;2,(-(J56*$X$18^6)+(J57*$X$18^5)-(J58*$X$18^4)+(J59*$X$18^3)-(J60*$X$18^2)+(J61*$X$18))*J62*J55,((-(J63*$X$18^2)+(J64*$X$18)+J65)*J62*J55))),IF($X$18&lt;0,"N/A",IF($X$18&lt;2,(-(J56*$X$18^6)+(J57*$X$18^5)-(J58*$X$18^4)+(J59*$X$18^3)-(J60*$X$18^2)+(J61*$X$18))*J62*J55,((-(J63*$X$18^2)+(J64*$X$18)+J65)*J62*J55))))</f>
        <v>12.3260529204706</v>
      </c>
      <c r="K69" s="8">
        <f>IF(D13="Yes",K145+IF($X$18&lt;0,"N/A",IF($X$18&lt;2,(-(K56*$X$18^6)+(K57*$X$18^5)-(K58*$X$18^4)+(K59*$X$18^3)-(K60*$X$18^2)+(K61*$X$18))*K62*K55,((((K63*$X$18^3)-(K64*$X$18^2)+(K65*$X$18)+K66)*K62*K55)))),IF($X$18&lt;0,"N/A",IF($X$18&lt;2,(-(K56*$X$18^6)+(K57*$X$18^5)-(K58*$X$18^4)+(K59*$X$18^3)-(K60*$X$18^2)+(K61*$X$18))*K62*K55,((((K63*$X$18^3)-(K64*$X$18^2)+(K65*$X$18)+K66)*K62*K55)))))</f>
        <v>19.054392002606011</v>
      </c>
      <c r="L69" s="8">
        <f>IF($X$18&lt;0,"N/A",IF($X$18&lt;2,(-(L56*$X$18^6)+(L57*$X$18^5)-(L58*$X$18^4)+(L59*$X$18^3)-(L60*$X$18^2)+(L61*$X$18))*L62*L55,((-(L63*$X$18^2)+(L64*$X$18)+L65)*L62*L55)))</f>
        <v>21.838022807275046</v>
      </c>
      <c r="M69" s="8">
        <f>IF($X$18&lt;0,"N/A",IF($X$18&lt;2,(-(M56*$X$18^6)+(M57*$X$18^5)-(M58*$X$18^4)+(M59*$X$18^3)-(M60*$X$18^2)+(M61*$X$18))*M62*M55,((((M63*$X$18^3)-(M64*$X$18^2)+(M65*$X$18)+M66)*M62*M55))))</f>
        <v>32.766265036233875</v>
      </c>
      <c r="N69" s="8">
        <f>IF($X$18&lt;0,"N/A",IF($X$18&lt;2,(-(N56*$X$18^6)+(N57*$X$18^5)-(N58*$X$18^4)+(N59*$X$18^3)-(N60*$X$18^2)+(N61*$X$18))*N62*N55,((((N63*$X$18^3)-(N64*$X$18^2)+(N65*$X$18)+N66)*N62*N55))))</f>
        <v>47.286503069753387</v>
      </c>
      <c r="O69" s="129" t="s">
        <v>70</v>
      </c>
      <c r="P69" s="25"/>
      <c r="Q69" s="25"/>
      <c r="R69" s="143"/>
      <c r="S69" s="175"/>
      <c r="T69" s="175"/>
      <c r="U69" s="175"/>
      <c r="AC69" s="174"/>
      <c r="AD69" s="174"/>
      <c r="AE69" s="174"/>
      <c r="AF69" s="174"/>
      <c r="AG69" s="174"/>
    </row>
    <row r="70" spans="1:33" s="2" customFormat="1" ht="12.75" hidden="1" customHeight="1" x14ac:dyDescent="0.2">
      <c r="A70" s="7"/>
      <c r="B70" s="24" t="s">
        <v>62</v>
      </c>
      <c r="C70" s="27">
        <f>C69+(C74*C55)</f>
        <v>1.0408318190551924</v>
      </c>
      <c r="D70" s="27">
        <f t="shared" ref="D70:M70" si="19">D69+(D74*D55)</f>
        <v>1.9407520126389026</v>
      </c>
      <c r="E70" s="27">
        <f t="shared" si="19"/>
        <v>2.9078154713573388</v>
      </c>
      <c r="F70" s="27">
        <f t="shared" si="19"/>
        <v>3.562190788287519</v>
      </c>
      <c r="G70" s="27">
        <f t="shared" si="19"/>
        <v>5.6482491783770667</v>
      </c>
      <c r="H70" s="27">
        <f t="shared" si="19"/>
        <v>7.5974504731267372</v>
      </c>
      <c r="I70" s="27">
        <f t="shared" si="19"/>
        <v>13.19638787933642</v>
      </c>
      <c r="J70" s="27">
        <f t="shared" si="19"/>
        <v>13.635950989874713</v>
      </c>
      <c r="K70" s="27">
        <f t="shared" si="19"/>
        <v>21.375285226248199</v>
      </c>
      <c r="L70" s="27">
        <f t="shared" si="19"/>
        <v>23.842430591329663</v>
      </c>
      <c r="M70" s="27">
        <f t="shared" si="19"/>
        <v>37.276182550356765</v>
      </c>
      <c r="N70" s="52"/>
      <c r="O70" s="3"/>
      <c r="P70" s="25"/>
      <c r="Q70" s="25"/>
      <c r="R70" s="143"/>
      <c r="S70" s="175"/>
      <c r="T70" s="175"/>
      <c r="U70" s="175"/>
      <c r="AC70" s="174"/>
      <c r="AD70" s="174"/>
      <c r="AE70" s="174"/>
      <c r="AF70" s="174"/>
      <c r="AG70" s="174"/>
    </row>
    <row r="71" spans="1:33" s="2" customFormat="1" ht="12.75" hidden="1" customHeight="1" x14ac:dyDescent="0.2">
      <c r="A71" s="7"/>
      <c r="B71" s="24" t="s">
        <v>63</v>
      </c>
      <c r="C71" s="27">
        <f>C69+(C77*C55)</f>
        <v>1.1621512375637613</v>
      </c>
      <c r="D71" s="27">
        <f t="shared" ref="D71:K71" si="20">D69+(D77*D55)</f>
        <v>2.1411927910443644</v>
      </c>
      <c r="E71" s="27">
        <f t="shared" si="20"/>
        <v>3.1525642113050605</v>
      </c>
      <c r="F71" s="27">
        <f t="shared" si="20"/>
        <v>3.8734014705486306</v>
      </c>
      <c r="G71" s="27">
        <f t="shared" si="20"/>
        <v>6.2390219989405331</v>
      </c>
      <c r="H71" s="27">
        <f t="shared" si="20"/>
        <v>7.96492523353675</v>
      </c>
      <c r="I71" s="27">
        <f t="shared" si="20"/>
        <v>14.631121872133409</v>
      </c>
      <c r="J71" s="27">
        <f t="shared" si="20"/>
        <v>14.576616046426661</v>
      </c>
      <c r="K71" s="27">
        <f t="shared" si="20"/>
        <v>22.641226984598482</v>
      </c>
      <c r="R71" s="174"/>
      <c r="S71" s="174"/>
      <c r="T71" s="174"/>
      <c r="U71" s="174"/>
      <c r="AC71" s="174"/>
      <c r="AD71" s="174"/>
      <c r="AE71" s="174"/>
      <c r="AF71" s="174"/>
      <c r="AG71" s="174"/>
    </row>
    <row r="72" spans="1:33" s="2" customFormat="1" ht="12.75" hidden="1" customHeight="1" x14ac:dyDescent="0.2">
      <c r="A72" s="7"/>
      <c r="B72" s="24" t="s">
        <v>78</v>
      </c>
      <c r="C72" s="27">
        <v>3</v>
      </c>
      <c r="D72" s="27">
        <v>3</v>
      </c>
      <c r="E72" s="27">
        <v>3</v>
      </c>
      <c r="F72" s="27">
        <v>6</v>
      </c>
      <c r="G72" s="27">
        <v>9</v>
      </c>
      <c r="H72" s="27">
        <v>11</v>
      </c>
      <c r="I72" s="27">
        <v>10</v>
      </c>
      <c r="J72" s="27">
        <v>15</v>
      </c>
      <c r="K72" s="27">
        <v>20</v>
      </c>
      <c r="L72" s="27">
        <v>30</v>
      </c>
      <c r="M72" s="27">
        <v>50</v>
      </c>
      <c r="N72" s="27"/>
      <c r="O72" s="3"/>
      <c r="P72" s="25"/>
      <c r="Q72" s="25"/>
      <c r="R72" s="143"/>
      <c r="S72" s="175"/>
      <c r="T72" s="175"/>
      <c r="U72" s="175"/>
      <c r="AC72" s="174"/>
      <c r="AD72" s="174"/>
      <c r="AE72" s="174"/>
      <c r="AF72" s="174"/>
      <c r="AG72" s="174"/>
    </row>
    <row r="73" spans="1:33" s="2" customFormat="1" ht="12.75" hidden="1" customHeight="1" x14ac:dyDescent="0.2">
      <c r="A73" s="7"/>
      <c r="B73" s="24" t="s">
        <v>79</v>
      </c>
      <c r="C73" s="27">
        <v>8</v>
      </c>
      <c r="D73" s="27">
        <v>11</v>
      </c>
      <c r="E73" s="27">
        <v>8</v>
      </c>
      <c r="F73" s="27">
        <v>12</v>
      </c>
      <c r="G73" s="27">
        <v>20</v>
      </c>
      <c r="H73" s="27">
        <v>42</v>
      </c>
      <c r="I73" s="27">
        <v>24</v>
      </c>
      <c r="J73" s="27">
        <v>70</v>
      </c>
      <c r="K73" s="27">
        <v>90</v>
      </c>
      <c r="L73" s="27">
        <v>90</v>
      </c>
      <c r="M73" s="27">
        <v>180</v>
      </c>
      <c r="N73" s="27"/>
      <c r="O73" s="3"/>
      <c r="P73" s="25"/>
      <c r="Q73" s="25"/>
      <c r="R73" s="143"/>
      <c r="S73" s="175"/>
      <c r="T73" s="175"/>
      <c r="U73" s="175"/>
      <c r="AC73" s="174"/>
      <c r="AD73" s="174"/>
      <c r="AE73" s="174"/>
      <c r="AF73" s="174"/>
      <c r="AG73" s="174"/>
    </row>
    <row r="74" spans="1:33" s="2" customFormat="1" ht="12.75" hidden="1" customHeight="1" x14ac:dyDescent="0.2">
      <c r="A74" s="7"/>
      <c r="B74" s="24" t="s">
        <v>80</v>
      </c>
      <c r="C74" s="27">
        <f t="shared" ref="C74:M74" si="21">IF($X$18&gt;C107,"N/A",(((C73-C72)*$X$18/C107)+C72))</f>
        <v>4.458333333333333</v>
      </c>
      <c r="D74" s="27">
        <f t="shared" si="21"/>
        <v>6.5</v>
      </c>
      <c r="E74" s="27">
        <f t="shared" si="21"/>
        <v>6.5</v>
      </c>
      <c r="F74" s="27">
        <f t="shared" si="21"/>
        <v>7.75</v>
      </c>
      <c r="G74" s="27">
        <f t="shared" si="21"/>
        <v>14.5</v>
      </c>
      <c r="H74" s="27">
        <f t="shared" si="21"/>
        <v>20.041666666666664</v>
      </c>
      <c r="I74" s="27">
        <f t="shared" si="21"/>
        <v>17</v>
      </c>
      <c r="J74" s="27">
        <f t="shared" si="21"/>
        <v>31.041666666666668</v>
      </c>
      <c r="K74" s="27">
        <f t="shared" si="21"/>
        <v>55</v>
      </c>
      <c r="L74" s="27">
        <f t="shared" si="21"/>
        <v>47.5</v>
      </c>
      <c r="M74" s="27">
        <f t="shared" si="21"/>
        <v>106.875</v>
      </c>
      <c r="N74" s="27"/>
      <c r="O74" s="129" t="s">
        <v>71</v>
      </c>
      <c r="P74" s="25"/>
      <c r="Q74" s="25"/>
      <c r="R74" s="143"/>
      <c r="S74" s="175"/>
      <c r="T74" s="175"/>
      <c r="U74" s="175"/>
      <c r="AC74" s="174"/>
      <c r="AD74" s="174"/>
      <c r="AE74" s="174"/>
      <c r="AF74" s="174"/>
      <c r="AG74" s="174"/>
    </row>
    <row r="75" spans="1:33" s="2" customFormat="1" ht="12.75" hidden="1" customHeight="1" x14ac:dyDescent="0.2">
      <c r="A75" s="7"/>
      <c r="B75" s="24" t="s">
        <v>81</v>
      </c>
      <c r="C75" s="27">
        <v>5</v>
      </c>
      <c r="D75" s="27">
        <v>6</v>
      </c>
      <c r="E75" s="27">
        <v>6</v>
      </c>
      <c r="F75" s="27">
        <v>9</v>
      </c>
      <c r="G75" s="27">
        <v>15</v>
      </c>
      <c r="H75" s="27">
        <v>20</v>
      </c>
      <c r="I75" s="27">
        <v>37</v>
      </c>
      <c r="J75" s="27">
        <v>30</v>
      </c>
      <c r="K75" s="27">
        <v>40</v>
      </c>
      <c r="O75" s="3"/>
      <c r="P75" s="25"/>
      <c r="Q75" s="25"/>
      <c r="R75" s="143"/>
      <c r="S75" s="175"/>
      <c r="T75" s="175"/>
      <c r="U75" s="175"/>
      <c r="AC75" s="174"/>
      <c r="AD75" s="174"/>
      <c r="AE75" s="174"/>
      <c r="AF75" s="174"/>
      <c r="AG75" s="174"/>
    </row>
    <row r="76" spans="1:33" s="2" customFormat="1" ht="12.75" hidden="1" customHeight="1" x14ac:dyDescent="0.2">
      <c r="A76" s="7"/>
      <c r="B76" s="24" t="s">
        <v>82</v>
      </c>
      <c r="C76" s="27">
        <v>13</v>
      </c>
      <c r="D76" s="27">
        <v>18</v>
      </c>
      <c r="E76" s="27">
        <v>15</v>
      </c>
      <c r="F76" s="27">
        <v>30</v>
      </c>
      <c r="G76" s="27">
        <v>42</v>
      </c>
      <c r="H76" s="27">
        <v>50</v>
      </c>
      <c r="I76" s="27">
        <v>65</v>
      </c>
      <c r="J76" s="27">
        <v>110</v>
      </c>
      <c r="K76" s="27">
        <v>130</v>
      </c>
      <c r="O76" s="3"/>
      <c r="P76" s="25"/>
      <c r="Q76" s="25"/>
      <c r="R76" s="143"/>
      <c r="S76" s="175"/>
      <c r="T76" s="175"/>
      <c r="U76" s="175"/>
      <c r="AC76" s="174"/>
      <c r="AD76" s="174"/>
      <c r="AE76" s="174"/>
      <c r="AF76" s="174"/>
      <c r="AG76" s="174"/>
    </row>
    <row r="77" spans="1:33" s="2" customFormat="1" ht="12.75" hidden="1" customHeight="1" x14ac:dyDescent="0.2">
      <c r="A77" s="7"/>
      <c r="B77" s="24" t="s">
        <v>83</v>
      </c>
      <c r="C77" s="27">
        <f t="shared" ref="C77:K77" si="22">IF($X$18&gt;C107,"N/A",(((C76-C75)*$X$18/C107)+C75))</f>
        <v>7.3333333333333339</v>
      </c>
      <c r="D77" s="27">
        <f t="shared" si="22"/>
        <v>11.25</v>
      </c>
      <c r="E77" s="27">
        <f t="shared" si="22"/>
        <v>12.3</v>
      </c>
      <c r="F77" s="27">
        <f t="shared" si="22"/>
        <v>15.125</v>
      </c>
      <c r="G77" s="27">
        <f t="shared" si="22"/>
        <v>28.5</v>
      </c>
      <c r="H77" s="27">
        <f t="shared" si="22"/>
        <v>28.75</v>
      </c>
      <c r="I77" s="27">
        <f t="shared" si="22"/>
        <v>51</v>
      </c>
      <c r="J77" s="27">
        <f t="shared" si="22"/>
        <v>53.333333333333329</v>
      </c>
      <c r="K77" s="27">
        <f t="shared" si="22"/>
        <v>85</v>
      </c>
      <c r="O77" s="3"/>
      <c r="P77" s="25"/>
      <c r="Q77" s="25"/>
      <c r="R77" s="143"/>
      <c r="S77" s="175"/>
      <c r="T77" s="175"/>
      <c r="U77" s="175"/>
      <c r="AC77" s="174"/>
      <c r="AD77" s="174"/>
      <c r="AE77" s="174"/>
      <c r="AF77" s="174"/>
      <c r="AG77" s="174"/>
    </row>
    <row r="78" spans="1:33" hidden="1" x14ac:dyDescent="0.2">
      <c r="A78" s="7"/>
      <c r="B78" s="1" t="s">
        <v>111</v>
      </c>
      <c r="C78" s="4">
        <f>IF(D13="Yes",C145+IF($D$12="Yes",(((C63*(C107+1)^3)-(C64*(C107+1)^2)+(C65*(C107+1)))+C66)*C62*C55,(((C63*C107^3)-(C64*C107^2)+(C65*C107))+C66)*C62*C55),IF($D$12="Yes",(((C63*(C107+1)^3)-(C64*(C107+1)^2)+(C65*(C107+1)))+C66)*C62*C55,(((C63*C107^3)-(C64*C107^2)+(C65*C107))+C66)*C62*C55))</f>
        <v>1.6813563265470688</v>
      </c>
      <c r="D78" s="4">
        <f>IF(D13="Yes",D145+IF($D$12="Yes",(((D63*(D107+1)^3)-(D64*(D107+1)^2)+(D65*(D107+1)))+D66)*D62*D55,(((D63*D107^3)-(D64*D107^2)+(D65*D107))+D66)*D62*D55),IF($D$12="Yes",(((D63*(D107+1)^3)-(D64*(D107+1)^2)+(D65*(D107+1)))+D66)*D62*D55,(((D63*D107^3)-(D64*D107^2)+(D65*D107))+D66)*D62*D55))</f>
        <v>2.4292578381569716</v>
      </c>
      <c r="E78" s="4">
        <f>IF(D13="Yes",E145+IF($D$12="Yes",(((E63*(E107+1)^3)-(E64*(E107+1)^2)+(E65*(E107+1)))+E66)*E62*E55,(((E63*E107^3)-(E64*E107^2)+(E65*E107))+E66)*E62*E55),IF($D$12="Yes",(((E63*(E107+1)^3)-(E64*(E107+1)^2)+(E65*(E107+1)))+E66)*E62*E55,(((E63*E107^3)-(E64*E107^2)+(E65*E107))+E66)*E62*E55))</f>
        <v>2.9985940449457069</v>
      </c>
      <c r="F78" s="4">
        <f>IF(D13="Yes",F145+IF($D$12="Yes",(((F63*(F107+1)^3)-(F64*(F107+1)^2)+(F65*(F107+1)))+F66)*F62*F55,(((F63*F107^3)-(F64*F107^2)+(F65*F107))+F66)*F62*F55),IF($D$12="Yes",(((F63*(F107+1)^3)-(F64*(F107+1)^2)+(F65*(F107+1)))+F66)*F62*F55,(((F63*F107^3)-(F64*F107^2)+(F65*F107))+F66)*F62*F55))</f>
        <v>5.4930056855991047</v>
      </c>
      <c r="G78" s="4">
        <f>IF(D13="Yes",G145+IF($D$12="Yes",(((G63*(G107+1)^3)-(G64*(G107+1)^2)+(G65*(G107+1)))+G66)*G62*G55,(((G63*G107^3)-(G64*G107^2)+(G65*G107))+G66)*G62*G55),IF($D$12="Yes",(((G63*(G107+1)^3)-(G64*(G107+1)^2)+(G65*(G107+1)))+G66)*G62*G55,(((G63*G107^3)-(G64*G107^2)+(G65*G107))+G66)*G62*G55))</f>
        <v>6.4891246175746113</v>
      </c>
      <c r="H78" s="4">
        <f>IF(D13="Yes",H145+IF($D$12="Yes",(((H63*(H107+1)^3)-(H64*(H107+1)^2)+(H65*(H107+1)))+H66)*H62*H55,(((H63*H107^3)-(H64*H107^2)+(H65*H107))+H66)*H62*H55),IF($D$12="Yes",(((H63*(H107+1)^3)-(H64*(H107+1)^2)+(H65*(H107+1)))+H66)*H62*H55,(((H63*H107^3)-(H64*H107^2)+(H65*H107))+H66)*H62*H55))</f>
        <v>12.84390749575309</v>
      </c>
      <c r="I78" s="4">
        <f>IF(D13="Yes",I145+IF($D$12="Yes",(-(I63*(I107+1)^2)+(I64*(I107+1))+I65)*I62*I55,(-(I63*I107^2)+(I64*I107)+I65)*I62*I55),IF($D$12="Yes",(-(I63*(I107+1)^2)+(I64*(I107+1))+I65)*I62*I55,(-(I63*I107^2)+(I64*I107)+I65)*I62*I55))</f>
        <v>17.15351082564635</v>
      </c>
      <c r="J78" s="4">
        <f>IF(D13="Yes",J145+IF($D$12="Yes",(-(J63*(J107+1)^2)+(J64*(J107+1))+J65)*J62*J55,(-(J63*J107^2)+(J64*J107)+J65)*J62*J55),IF($D$12="Yes",(-(J63*(J107+1)^2)+(J64*(J107+1))+J65)*J62*J55,(-(J63*J107^2)+(J64*J107)+J65)*J62*J55))</f>
        <v>21.723560573290872</v>
      </c>
      <c r="K78" s="4">
        <f>IF(D13="Yes",K145+IF($D$12="Yes",(((K63*(K107+1)^3)-(K64*(K107+1)^2)+(K65*(K107+1)))+K66)*K62*K55,(((K63*K107^3)-(K64*K107^2)+(K65*K107))+K66)*K62*K55),IF($D$12="Yes",(((K63*(K107+1)^3)-(K64*(K107+1)^2)+(K65*(K107+1)))+K66)*K62*K55,(((K63*K107^3)-(K64*K107^2)+(K65*K107))+K66)*K62*K55))</f>
        <v>25.9476031195431</v>
      </c>
      <c r="L78" s="4">
        <f>IF($D$12="Yes",(-(L63*(L107+1)^2)+(L64*(L107+1))+L65)*L62*L55,(-(L63*L107^2)+(L64*L107)+L65)*L62*L55)</f>
        <v>38.400233336625284</v>
      </c>
      <c r="M78" s="4">
        <f t="shared" ref="M78:N78" si="23">IF($D$12="Yes",(((M63*(M107+1)^3)-(M64*(M107+1)^2)+(M65*(M107+1)))+M66)*M62*M55,(((M63*M107^3)-(M64*M107^2)+(M65*M107))+M66)*M62*M55)</f>
        <v>45.759574758501607</v>
      </c>
      <c r="N78" s="4">
        <f t="shared" si="23"/>
        <v>90.543732952582587</v>
      </c>
      <c r="R78" s="40"/>
      <c r="S78" s="40"/>
      <c r="T78" s="40"/>
      <c r="U78" s="40"/>
      <c r="AC78" s="40"/>
      <c r="AD78" s="40"/>
      <c r="AE78" s="40"/>
      <c r="AF78" s="40"/>
      <c r="AG78" s="40"/>
    </row>
    <row r="79" spans="1:33" hidden="1" x14ac:dyDescent="0.2">
      <c r="A79" s="7"/>
      <c r="B79" s="1" t="s">
        <v>112</v>
      </c>
      <c r="C79" s="4">
        <f>IF(D13="Yes",C145+IF($D$12="Yes",(((C63*(C105+1)^3)-(C64*(C105+1)^2)+(C65*(C105+1)))+C66)*C62*C55,(((C63*C105^3)-(C64*C105^2)+(C65*C105))+C66)*C62*C55),IF($D$12="Yes",(((C63*(C105+1)^3)-(C64*(C105+1)^2)+(C65*(C105+1)))+C66)*C62*C55,(((C63*C105^3)-(C64*C105^2)+(C65*C105))+C66)*C62*C55))</f>
        <v>1.4030617124302622</v>
      </c>
      <c r="D79" s="4">
        <f>IF(D13="Yes",D145+IF($D$12="Yes",(((D63*(D105+1)^3)-(D64*(D105+1)^2)+(D65*(D105+1)))+D66)*D62*D55,(((D63*D105^3)-(D64*D105^2)+(D65*D105))+D66)*D62*D55),IF($D$12="Yes",(((D63*(D105+1)^3)-(D64*(D105+1)^2)+(D65*(D105+1)))+D66)*D62*D55,(((D63*D105^3)-(D64*D105^2)+(D65*D105))+D66)*D62*D55))</f>
        <v>2.0755326118445963</v>
      </c>
      <c r="E79" s="4">
        <f>IF(D13="Yes",E145+IF($D$12="Yes",(((E63*(E105+1)^3)-(E64*(E105+1)^2)+(E65*(E105+1)))+E66)*E62*E55,(((E63*E105^3)-(E64*E105^2)+(E65*E105))+E66)*E62*E55),IF($D$12="Yes",(((E63*(E105+1)^3)-(E64*(E105+1)^2)+(E65*(E105+1)))+E66)*E62*E55,(((E63*E105^3)-(E64*E105^2)+(E65*E105))+E66)*E62*E55))</f>
        <v>2.6335280903814438</v>
      </c>
      <c r="F79" s="4">
        <f>IF(D13="Yes",F145+IF($D$12="Yes",(((F63*(F105+1)^3)-(F64*(F105+1)^2)+(F65*(F105+1)))+F66)*F62*F55,(((F63*F105^3)-(F64*F105^2)+(F65*F105))+F66)*F62*F55),IF($D$12="Yes",(((F63*(F105+1)^3)-(F64*(F105+1)^2)+(F65*(F105+1)))+F66)*F62*F55,(((F63*F105^3)-(F64*F105^2)+(F65*F105))+F66)*F62*F55))</f>
        <v>4.8199935960830755</v>
      </c>
      <c r="G79" s="4">
        <f>IF(D13="Yes",G145+IF($D$12="Yes",(((G63*(G105+1)^3)-(G64*(G105+1)^2)+(G65*(G105+1)))+G66)*G62*G55,(((G63*G105^3)-(G64*G105^2)+(G65*G105))+G66)*G62*G55),IF($D$12="Yes",(((G63*(G105+1)^3)-(G64*(G105+1)^2)+(G65*(G105+1)))+G66)*G62*G55,(((G63*G105^3)-(G64*G105^2)+(G65*G105))+G66)*G62*G55))</f>
        <v>5.7688037570733002</v>
      </c>
      <c r="H79" s="4">
        <f>IF(D13="Yes",H145+IF($D$12="Yes",(((H63*(H105+1)^3)-(H64*(H105+1)^2)+(H65*(H105+1)))+H66)*H62*H55,(((H63*H105^3)-(H64*H105^2)+(H65*H105))+H66)*H62*H55),IF($D$12="Yes",(((H63*(H105+1)^3)-(H64*(H105+1)^2)+(H65*(H105+1)))+H66)*H62*H55,(((H63*H105^3)-(H64*H105^2)+(H65*H105))+H66)*H62*H55))</f>
        <v>10.754517568936151</v>
      </c>
      <c r="I79" s="4">
        <f>IF(D13="Yes",I145+IF(D12="Yes",(-(I63*(I105+1)^2)+(I64*(I105+1))+I65)*I62*I55,(-(I63*I105^2)+(I64*I105)+I65)*I62*I55),IF(D12="Yes",(-(I63*(I105+1)^2)+(I64*(I105+1))+I65)*I62*I55,(-(I63*I105^2)+(I64*I105)+I65)*I62*I55))</f>
        <v>14.824177990281825</v>
      </c>
      <c r="J79" s="4">
        <f>IF(D13="Yes",J145+IF(E12="Yes",(-(J63*(J105+1)^2)+(J64*(J105+1))+J65)*J62*J55,(-(J63*J105^2)+(J64*J105)+J65)*J62*J55),IF(E12="Yes",(-(J63*(J105+1)^2)+(J64*(J105+1))+J65)*J62*J55,(-(J63*J105^2)+(J64*J105)+J65)*J62*J55))</f>
        <v>19.035544239727106</v>
      </c>
      <c r="K79" s="4">
        <f>IF(D13="Yes",K145+IF($D$12="Yes",(((K63*(K105+1)^3)-(K64*(K105+1)^2)+(K65*(K105+1)))+K66)*K62*K55,(((K63*K105^3)-(K64*K105^2)+(K65*K105))+K66)*K62*K55),IF($D$12="Yes",(((K63*(K105+1)^3)-(K64*(K105+1)^2)+(K65*(K105+1)))+K66)*K62*K55,(((K63*K105^3)-(K64*K105^2)+(K65*K105))+K66)*K62*K55))</f>
        <v>22.430816914846009</v>
      </c>
      <c r="L79" s="4">
        <f>IF(G12="Yes",(-(L63*(L105+1)^2)+(L64*(L105+1))+L65)*L62*L55,(-(L63*L105^2)+(L64*L105)+L65)*L62*L55)</f>
        <v>33.315894749650951</v>
      </c>
      <c r="M79" s="4">
        <f t="shared" ref="M79:N79" si="24">IF($D$12="Yes",(((M63*(M105+1)^3)-(M64*(M105+1)^2)+(M65*(M105+1)))+M66)*M62*M55,(((M63*M105^3)-(M64*M105^2)+(M65*M105))+M66)*M62*M55)</f>
        <v>39.237337324334412</v>
      </c>
      <c r="N79" s="4">
        <f t="shared" si="24"/>
        <v>57.025814997328233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spans="1:33" hidden="1" x14ac:dyDescent="0.2">
      <c r="A80" s="7"/>
      <c r="B80" s="1" t="s">
        <v>113</v>
      </c>
      <c r="C80" s="48">
        <f>C78+C73</f>
        <v>9.6813563265470695</v>
      </c>
      <c r="D80" s="48">
        <f t="shared" ref="D80:M80" si="25">D78+D73</f>
        <v>13.429257838156971</v>
      </c>
      <c r="E80" s="48">
        <f t="shared" si="25"/>
        <v>10.998594044945706</v>
      </c>
      <c r="F80" s="48">
        <f t="shared" si="25"/>
        <v>17.493005685599105</v>
      </c>
      <c r="G80" s="48">
        <f t="shared" si="25"/>
        <v>26.48912461757461</v>
      </c>
      <c r="H80" s="48">
        <f t="shared" si="25"/>
        <v>54.843907495753086</v>
      </c>
      <c r="I80" s="48">
        <f t="shared" si="25"/>
        <v>41.15351082564635</v>
      </c>
      <c r="J80" s="48">
        <f t="shared" si="25"/>
        <v>91.723560573290868</v>
      </c>
      <c r="K80" s="48">
        <f t="shared" si="25"/>
        <v>115.9476031195431</v>
      </c>
      <c r="L80" s="48">
        <f t="shared" si="25"/>
        <v>128.40023333662529</v>
      </c>
      <c r="M80" s="48">
        <f t="shared" si="25"/>
        <v>225.7595747585016</v>
      </c>
      <c r="N80" s="48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spans="1:33" hidden="1" x14ac:dyDescent="0.2">
      <c r="A81" s="7"/>
      <c r="B81" s="1" t="s">
        <v>114</v>
      </c>
      <c r="C81" s="4">
        <f t="shared" ref="C81:M81" si="26">(((C73-C72)*C105/C107)+C72)</f>
        <v>6.5416666666666661</v>
      </c>
      <c r="D81" s="4">
        <f t="shared" si="26"/>
        <v>8.5</v>
      </c>
      <c r="E81" s="4">
        <f t="shared" si="26"/>
        <v>6.5</v>
      </c>
      <c r="F81" s="4">
        <f t="shared" si="26"/>
        <v>10.25</v>
      </c>
      <c r="G81" s="4">
        <f t="shared" si="26"/>
        <v>16.857142857142858</v>
      </c>
      <c r="H81" s="4">
        <f t="shared" si="26"/>
        <v>32.958333333333329</v>
      </c>
      <c r="I81" s="4">
        <f t="shared" si="26"/>
        <v>20</v>
      </c>
      <c r="J81" s="4">
        <f t="shared" si="26"/>
        <v>53.958333333333336</v>
      </c>
      <c r="K81" s="4">
        <f t="shared" si="26"/>
        <v>70</v>
      </c>
      <c r="L81" s="4">
        <f t="shared" si="26"/>
        <v>72.5</v>
      </c>
      <c r="M81" s="4">
        <f t="shared" si="26"/>
        <v>139.375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spans="1:33" hidden="1" x14ac:dyDescent="0.2">
      <c r="A82" s="7"/>
      <c r="B82" s="1" t="s">
        <v>115</v>
      </c>
      <c r="C82" s="4">
        <f>C79+C81</f>
        <v>7.9447283790969285</v>
      </c>
      <c r="D82" s="4">
        <f t="shared" ref="D82:M82" si="27">D79+D81</f>
        <v>10.575532611844597</v>
      </c>
      <c r="E82" s="4">
        <f t="shared" si="27"/>
        <v>9.1335280903814429</v>
      </c>
      <c r="F82" s="4">
        <f t="shared" si="27"/>
        <v>15.069993596083076</v>
      </c>
      <c r="G82" s="4">
        <f t="shared" si="27"/>
        <v>22.625946614216158</v>
      </c>
      <c r="H82" s="4">
        <f t="shared" si="27"/>
        <v>43.71285090226948</v>
      </c>
      <c r="I82" s="4">
        <f t="shared" si="27"/>
        <v>34.824177990281825</v>
      </c>
      <c r="J82" s="4">
        <f t="shared" si="27"/>
        <v>72.993877573060445</v>
      </c>
      <c r="K82" s="4">
        <f t="shared" si="27"/>
        <v>92.430816914846005</v>
      </c>
      <c r="L82" s="4">
        <f t="shared" si="27"/>
        <v>105.81589474965095</v>
      </c>
      <c r="M82" s="4">
        <f t="shared" si="27"/>
        <v>178.61233732433442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spans="1:33" hidden="1" x14ac:dyDescent="0.2">
      <c r="A83" s="7"/>
      <c r="B83" s="1" t="s">
        <v>116</v>
      </c>
      <c r="C83" s="48">
        <f>C78+C76</f>
        <v>14.681356326547069</v>
      </c>
      <c r="D83" s="48">
        <f t="shared" ref="D83:K83" si="28">D78+D76</f>
        <v>20.429257838156971</v>
      </c>
      <c r="E83" s="48">
        <f t="shared" si="28"/>
        <v>17.998594044945708</v>
      </c>
      <c r="F83" s="48">
        <f t="shared" si="28"/>
        <v>35.493005685599101</v>
      </c>
      <c r="G83" s="48">
        <f t="shared" si="28"/>
        <v>48.48912461757461</v>
      </c>
      <c r="H83" s="48">
        <f t="shared" si="28"/>
        <v>62.843907495753086</v>
      </c>
      <c r="I83" s="48">
        <f t="shared" si="28"/>
        <v>82.15351082564635</v>
      </c>
      <c r="J83" s="48">
        <f t="shared" si="28"/>
        <v>131.72356057329088</v>
      </c>
      <c r="K83" s="48">
        <f t="shared" si="28"/>
        <v>155.94760311954309</v>
      </c>
      <c r="L83" s="48"/>
      <c r="M83" s="48"/>
      <c r="N83" s="48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spans="1:33" hidden="1" x14ac:dyDescent="0.2">
      <c r="A84" s="7"/>
      <c r="B84" s="1" t="s">
        <v>117</v>
      </c>
      <c r="C84" s="4">
        <f t="shared" ref="C84:K84" si="29">(((C76-C75)*C105/C107)+C75)</f>
        <v>10.666666666666668</v>
      </c>
      <c r="D84" s="4">
        <f t="shared" si="29"/>
        <v>14.25</v>
      </c>
      <c r="E84" s="4">
        <f t="shared" si="29"/>
        <v>12.3</v>
      </c>
      <c r="F84" s="4">
        <f t="shared" si="29"/>
        <v>23.875</v>
      </c>
      <c r="G84" s="4">
        <f t="shared" si="29"/>
        <v>34.285714285714285</v>
      </c>
      <c r="H84" s="4">
        <f t="shared" si="29"/>
        <v>41.25</v>
      </c>
      <c r="I84" s="4">
        <f t="shared" si="29"/>
        <v>57</v>
      </c>
      <c r="J84" s="4">
        <f t="shared" si="29"/>
        <v>86.666666666666657</v>
      </c>
      <c r="K84" s="4">
        <f t="shared" si="29"/>
        <v>104.28571428571429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spans="1:33" hidden="1" x14ac:dyDescent="0.2">
      <c r="A85" s="7"/>
      <c r="B85" s="1" t="s">
        <v>118</v>
      </c>
      <c r="C85" s="4">
        <f>C79+C84</f>
        <v>12.069728379096929</v>
      </c>
      <c r="D85" s="4">
        <f t="shared" ref="D85:K85" si="30">D79+D84</f>
        <v>16.325532611844597</v>
      </c>
      <c r="E85" s="4">
        <f t="shared" si="30"/>
        <v>14.933528090381444</v>
      </c>
      <c r="F85" s="4">
        <f t="shared" si="30"/>
        <v>28.694993596083076</v>
      </c>
      <c r="G85" s="4">
        <f t="shared" si="30"/>
        <v>40.054518042787585</v>
      </c>
      <c r="H85" s="4">
        <f t="shared" si="30"/>
        <v>52.004517568936151</v>
      </c>
      <c r="I85" s="4">
        <f t="shared" si="30"/>
        <v>71.824177990281825</v>
      </c>
      <c r="J85" s="4">
        <f t="shared" si="30"/>
        <v>105.70221090639376</v>
      </c>
      <c r="K85" s="4">
        <f t="shared" si="30"/>
        <v>126.7165312005603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 spans="1:33" hidden="1" x14ac:dyDescent="0.2">
      <c r="A86" s="7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spans="1:33" s="2" customFormat="1" ht="12.75" hidden="1" customHeight="1" x14ac:dyDescent="0.2">
      <c r="A87" s="7"/>
      <c r="B87" s="19" t="s">
        <v>72</v>
      </c>
      <c r="C87" s="9" t="e">
        <f t="shared" ref="C87:N87" si="31">((C93*(C116+300)^2)*(((1^0.8)*C94)+0.01))+1.3</f>
        <v>#VALUE!</v>
      </c>
      <c r="D87" s="9">
        <f t="shared" si="31"/>
        <v>2.1115314081361372</v>
      </c>
      <c r="E87" s="9">
        <f t="shared" si="31"/>
        <v>2.0566856432392324</v>
      </c>
      <c r="F87" s="9">
        <f t="shared" si="31"/>
        <v>1.9742115239652311</v>
      </c>
      <c r="G87" s="9">
        <f t="shared" si="31"/>
        <v>1.6812744841668958</v>
      </c>
      <c r="H87" s="9">
        <f t="shared" si="31"/>
        <v>1.8010753707911684</v>
      </c>
      <c r="I87" s="9">
        <f t="shared" si="31"/>
        <v>1.5962557140719122</v>
      </c>
      <c r="J87" s="9">
        <f t="shared" si="31"/>
        <v>1.7073510870023147</v>
      </c>
      <c r="K87" s="9">
        <f t="shared" si="31"/>
        <v>1.5939220781090992</v>
      </c>
      <c r="L87" s="9">
        <f t="shared" si="31"/>
        <v>1.6906881634889726</v>
      </c>
      <c r="M87" s="9">
        <f t="shared" si="31"/>
        <v>1.5725675729564794</v>
      </c>
      <c r="N87" s="9">
        <f t="shared" si="31"/>
        <v>1.5773174690553808</v>
      </c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</row>
    <row r="88" spans="1:33" s="2" customFormat="1" ht="12.75" hidden="1" customHeight="1" x14ac:dyDescent="0.2">
      <c r="A88" s="7"/>
      <c r="B88" s="19" t="s">
        <v>73</v>
      </c>
      <c r="C88" s="9" t="e">
        <f t="shared" ref="C88:M88" si="32">((C93*(C117+300)^2)*(((1^0.8)*C94)+0.01))+1.3</f>
        <v>#VALUE!</v>
      </c>
      <c r="D88" s="9">
        <f t="shared" si="32"/>
        <v>2.1163521550233986</v>
      </c>
      <c r="E88" s="9">
        <f t="shared" si="32"/>
        <v>2.0607666444998261</v>
      </c>
      <c r="F88" s="9">
        <f t="shared" si="32"/>
        <v>1.9776144166537137</v>
      </c>
      <c r="G88" s="9">
        <f t="shared" si="32"/>
        <v>1.6841099998967148</v>
      </c>
      <c r="H88" s="9">
        <f t="shared" si="32"/>
        <v>1.8040974598383137</v>
      </c>
      <c r="I88" s="9">
        <f t="shared" si="32"/>
        <v>1.5972785979974353</v>
      </c>
      <c r="J88" s="9">
        <f t="shared" si="32"/>
        <v>1.7090790563323413</v>
      </c>
      <c r="K88" s="9">
        <f t="shared" si="32"/>
        <v>1.5955583227617485</v>
      </c>
      <c r="L88" s="9">
        <f t="shared" si="32"/>
        <v>1.692060870342931</v>
      </c>
      <c r="M88" s="9">
        <f t="shared" si="32"/>
        <v>1.5740384754821486</v>
      </c>
      <c r="N88" s="53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</row>
    <row r="89" spans="1:33" s="2" customFormat="1" ht="12.75" hidden="1" customHeight="1" x14ac:dyDescent="0.2">
      <c r="A89" s="7"/>
      <c r="B89" s="19" t="s">
        <v>74</v>
      </c>
      <c r="C89" s="9" t="e">
        <f t="shared" ref="C89:K89" si="33">((C93*(C118+300)^2)*(((1^0.8)*C94)+0.01))+1.3</f>
        <v>#VALUE!</v>
      </c>
      <c r="D89" s="9">
        <f t="shared" si="33"/>
        <v>2.1198840366041187</v>
      </c>
      <c r="E89" s="9">
        <f t="shared" si="33"/>
        <v>2.064417419387349</v>
      </c>
      <c r="F89" s="9">
        <f t="shared" si="33"/>
        <v>1.9808606075161621</v>
      </c>
      <c r="G89" s="9">
        <f t="shared" si="33"/>
        <v>1.6868577068737447</v>
      </c>
      <c r="H89" s="9">
        <f t="shared" si="33"/>
        <v>1.8054134238032851</v>
      </c>
      <c r="I89" s="9">
        <f t="shared" si="33"/>
        <v>1.5993296542991104</v>
      </c>
      <c r="J89" s="9">
        <f t="shared" si="33"/>
        <v>1.7103222032443677</v>
      </c>
      <c r="K89" s="9">
        <f t="shared" si="33"/>
        <v>1.5964527341571482</v>
      </c>
      <c r="L89" s="8"/>
      <c r="M89" s="8"/>
      <c r="N89" s="51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</row>
    <row r="90" spans="1:33" s="2" customFormat="1" ht="12.75" hidden="1" customHeight="1" x14ac:dyDescent="0.2">
      <c r="A90" s="7"/>
      <c r="B90" s="28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50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</row>
    <row r="91" spans="1:33" s="2" customFormat="1" ht="12.75" hidden="1" customHeight="1" x14ac:dyDescent="0.2">
      <c r="A91" s="7"/>
      <c r="B91" s="28"/>
      <c r="C91" s="29">
        <v>0.05</v>
      </c>
      <c r="D91" s="29">
        <v>0.08</v>
      </c>
      <c r="E91" s="29">
        <v>0.11</v>
      </c>
      <c r="F91" s="29">
        <v>0.2</v>
      </c>
      <c r="G91" s="29">
        <v>0.31</v>
      </c>
      <c r="H91" s="29">
        <v>0.69</v>
      </c>
      <c r="I91" s="29">
        <v>1.1299999999999999</v>
      </c>
      <c r="J91" s="29">
        <v>1.8</v>
      </c>
      <c r="K91" s="29">
        <v>2.5</v>
      </c>
      <c r="L91" s="29">
        <v>3.51</v>
      </c>
      <c r="M91" s="29">
        <v>5.25</v>
      </c>
      <c r="N91" s="29">
        <v>5.25</v>
      </c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</row>
    <row r="92" spans="1:33" s="2" customFormat="1" ht="12.75" hidden="1" customHeight="1" x14ac:dyDescent="0.2">
      <c r="A92" s="7"/>
      <c r="B92" s="28"/>
      <c r="C92" s="29">
        <v>22.2</v>
      </c>
      <c r="D92" s="29">
        <v>35.1</v>
      </c>
      <c r="E92" s="29">
        <v>35.1</v>
      </c>
      <c r="F92" s="29">
        <v>35.1</v>
      </c>
      <c r="G92" s="29">
        <v>47.6</v>
      </c>
      <c r="H92" s="29">
        <v>47.6</v>
      </c>
      <c r="I92" s="29">
        <v>72.3</v>
      </c>
      <c r="J92" s="29">
        <v>72.3</v>
      </c>
      <c r="K92" s="29">
        <v>97.5</v>
      </c>
      <c r="L92" s="29">
        <v>97.5</v>
      </c>
      <c r="M92" s="29">
        <v>140</v>
      </c>
      <c r="N92" s="29">
        <v>140</v>
      </c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</row>
    <row r="93" spans="1:33" s="2" customFormat="1" ht="12.75" hidden="1" customHeight="1" x14ac:dyDescent="0.2">
      <c r="A93" s="7"/>
      <c r="B93" s="28"/>
      <c r="C93" s="29">
        <f t="shared" ref="C93:N93" si="34">(C91/(C92^2))</f>
        <v>1.0145280415550686E-4</v>
      </c>
      <c r="D93" s="29">
        <f t="shared" si="34"/>
        <v>6.4934537869010804E-5</v>
      </c>
      <c r="E93" s="29">
        <f t="shared" si="34"/>
        <v>8.9284989569889852E-5</v>
      </c>
      <c r="F93" s="29">
        <f t="shared" si="34"/>
        <v>1.6233634467252702E-4</v>
      </c>
      <c r="G93" s="29">
        <f t="shared" si="34"/>
        <v>1.3681943365581524E-4</v>
      </c>
      <c r="H93" s="29">
        <f t="shared" si="34"/>
        <v>3.0453357813713713E-4</v>
      </c>
      <c r="I93" s="29">
        <f t="shared" si="34"/>
        <v>2.1617319873203894E-4</v>
      </c>
      <c r="J93" s="29">
        <f t="shared" si="34"/>
        <v>3.443466882457258E-4</v>
      </c>
      <c r="K93" s="29">
        <f t="shared" si="34"/>
        <v>2.6298487836949375E-4</v>
      </c>
      <c r="L93" s="29">
        <f t="shared" si="34"/>
        <v>3.6923076923076921E-4</v>
      </c>
      <c r="M93" s="29">
        <f t="shared" si="34"/>
        <v>2.6785714285714287E-4</v>
      </c>
      <c r="N93" s="29">
        <f t="shared" si="34"/>
        <v>2.6785714285714287E-4</v>
      </c>
      <c r="O93" s="2" t="s">
        <v>50</v>
      </c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</row>
    <row r="94" spans="1:33" s="2" customFormat="1" ht="12.75" hidden="1" customHeight="1" x14ac:dyDescent="0.2">
      <c r="A94" s="7"/>
      <c r="B94" s="28"/>
      <c r="C94" s="29">
        <f t="shared" ref="C94:M94" si="35">(C92^-1.2)*0.0047</f>
        <v>1.1388703556821085E-4</v>
      </c>
      <c r="D94" s="29">
        <f t="shared" si="35"/>
        <v>6.5724806802699434E-5</v>
      </c>
      <c r="E94" s="29">
        <f t="shared" si="35"/>
        <v>6.5724806802699434E-5</v>
      </c>
      <c r="F94" s="29">
        <f t="shared" si="35"/>
        <v>6.5724806802699434E-5</v>
      </c>
      <c r="G94" s="29">
        <f t="shared" si="35"/>
        <v>4.5600490553437597E-5</v>
      </c>
      <c r="H94" s="29">
        <f t="shared" si="35"/>
        <v>4.5600490553437597E-5</v>
      </c>
      <c r="I94" s="29">
        <f t="shared" si="35"/>
        <v>2.7614164088578551E-5</v>
      </c>
      <c r="J94" s="29">
        <f t="shared" si="35"/>
        <v>2.7614164088578551E-5</v>
      </c>
      <c r="K94" s="29">
        <f t="shared" si="35"/>
        <v>1.928822746886678E-5</v>
      </c>
      <c r="L94" s="29">
        <f t="shared" si="35"/>
        <v>1.928822746886678E-5</v>
      </c>
      <c r="M94" s="29">
        <f t="shared" si="35"/>
        <v>1.2495228864015431E-5</v>
      </c>
      <c r="N94" s="29">
        <f>(N92^-1.2)*0.0047</f>
        <v>1.2495228864015431E-5</v>
      </c>
      <c r="O94" s="2" t="s">
        <v>46</v>
      </c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</row>
    <row r="95" spans="1:33" s="2" customFormat="1" ht="12.75" hidden="1" customHeight="1" x14ac:dyDescent="0.2">
      <c r="A95" s="7"/>
      <c r="B95" s="1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50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</row>
    <row r="96" spans="1:33" s="2" customFormat="1" ht="12.75" hidden="1" customHeight="1" x14ac:dyDescent="0.2">
      <c r="A96" s="7"/>
      <c r="B96" s="19" t="s">
        <v>64</v>
      </c>
      <c r="C96" s="9" t="e">
        <f t="shared" ref="C96:N96" si="36">((C93*(C116+300)^2)*((($X$19^0.8)*C94)+0.01))+1.3</f>
        <v>#VALUE!</v>
      </c>
      <c r="D96" s="9">
        <f t="shared" si="36"/>
        <v>2.6142592358143673</v>
      </c>
      <c r="E96" s="9">
        <f t="shared" si="36"/>
        <v>2.525437592759773</v>
      </c>
      <c r="F96" s="9">
        <f t="shared" si="36"/>
        <v>2.3918723704100189</v>
      </c>
      <c r="G96" s="9">
        <f t="shared" si="36"/>
        <v>1.8454750622914395</v>
      </c>
      <c r="H96" s="9">
        <f t="shared" si="36"/>
        <v>2.0168696842964615</v>
      </c>
      <c r="I96" s="9">
        <f t="shared" si="36"/>
        <v>1.6736563179670525</v>
      </c>
      <c r="J96" s="9">
        <f t="shared" si="36"/>
        <v>1.813776781541552</v>
      </c>
      <c r="K96" s="9">
        <f t="shared" si="36"/>
        <v>1.6476043621771774</v>
      </c>
      <c r="L96" s="9">
        <f t="shared" si="36"/>
        <v>1.7620439225029856</v>
      </c>
      <c r="M96" s="9">
        <f t="shared" si="36"/>
        <v>1.6048390919313364</v>
      </c>
      <c r="N96" s="9">
        <f t="shared" si="36"/>
        <v>1.6101513673346486</v>
      </c>
      <c r="O96" s="129" t="s">
        <v>70</v>
      </c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</row>
    <row r="97" spans="1:33" s="2" customFormat="1" ht="12.75" hidden="1" customHeight="1" x14ac:dyDescent="0.2">
      <c r="A97" s="7"/>
      <c r="B97" s="19" t="s">
        <v>65</v>
      </c>
      <c r="C97" s="9" t="e">
        <f t="shared" ref="C97:M97" si="37">((C93*(C117+300)^2)*((($X$19^0.8)*C94)+0.01))+1.3</f>
        <v>#VALUE!</v>
      </c>
      <c r="D97" s="9">
        <f t="shared" si="37"/>
        <v>2.6220663410681961</v>
      </c>
      <c r="E97" s="9">
        <f t="shared" si="37"/>
        <v>2.5320466944462043</v>
      </c>
      <c r="F97" s="9">
        <f t="shared" si="37"/>
        <v>2.3973832885328248</v>
      </c>
      <c r="G97" s="9">
        <f t="shared" si="37"/>
        <v>1.8495317279839552</v>
      </c>
      <c r="H97" s="9">
        <f t="shared" si="37"/>
        <v>2.0211932734158431</v>
      </c>
      <c r="I97" s="9">
        <f t="shared" si="37"/>
        <v>1.6749464434335466</v>
      </c>
      <c r="J97" s="9">
        <f t="shared" si="37"/>
        <v>1.8159562050150886</v>
      </c>
      <c r="K97" s="9">
        <f t="shared" si="37"/>
        <v>1.6495394525334688</v>
      </c>
      <c r="L97" s="9">
        <f t="shared" si="37"/>
        <v>1.7636673421980837</v>
      </c>
      <c r="M97" s="9">
        <f t="shared" si="37"/>
        <v>1.6064841467167641</v>
      </c>
      <c r="N97" s="53"/>
      <c r="O97" s="129" t="s">
        <v>71</v>
      </c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</row>
    <row r="98" spans="1:33" s="2" customFormat="1" ht="12.75" hidden="1" customHeight="1" x14ac:dyDescent="0.2">
      <c r="A98" s="7"/>
      <c r="B98" s="19" t="s">
        <v>66</v>
      </c>
      <c r="C98" s="9" t="e">
        <f t="shared" ref="C98:K98" si="38">((C93*(C118+300)^2)*((($X$19^0.8)*C94)+0.01))+1.3</f>
        <v>#VALUE!</v>
      </c>
      <c r="D98" s="9">
        <f t="shared" si="38"/>
        <v>2.6277861541779868</v>
      </c>
      <c r="E98" s="9">
        <f t="shared" si="38"/>
        <v>2.5379590529399154</v>
      </c>
      <c r="F98" s="9">
        <f t="shared" si="38"/>
        <v>2.4026404311146345</v>
      </c>
      <c r="G98" s="9">
        <f t="shared" si="38"/>
        <v>1.8534627689969119</v>
      </c>
      <c r="H98" s="9">
        <f t="shared" si="38"/>
        <v>2.0230759735585884</v>
      </c>
      <c r="I98" s="9">
        <f t="shared" si="38"/>
        <v>1.6775333644926995</v>
      </c>
      <c r="J98" s="9">
        <f t="shared" si="38"/>
        <v>1.8175241399975244</v>
      </c>
      <c r="K98" s="9">
        <f t="shared" si="38"/>
        <v>1.6505972203085946</v>
      </c>
      <c r="L98" s="8"/>
      <c r="M98" s="8"/>
      <c r="N98" s="51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</row>
    <row r="99" spans="1:33" s="2" customFormat="1" ht="12.75" hidden="1" customHeight="1" x14ac:dyDescent="0.2">
      <c r="A99" s="7"/>
      <c r="B99" s="193"/>
      <c r="C99" s="9"/>
      <c r="D99" s="9"/>
      <c r="E99" s="9"/>
      <c r="F99" s="9"/>
      <c r="G99" s="9"/>
      <c r="H99" s="9"/>
      <c r="I99" s="9"/>
      <c r="J99" s="9"/>
      <c r="K99" s="9"/>
      <c r="L99" s="8"/>
      <c r="M99" s="8"/>
      <c r="N99" s="51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</row>
    <row r="100" spans="1:33" s="2" customFormat="1" ht="12.75" hidden="1" customHeight="1" x14ac:dyDescent="0.2">
      <c r="A100" s="7"/>
      <c r="B100" s="193"/>
      <c r="C100" s="9"/>
      <c r="D100" s="9"/>
      <c r="E100" s="9"/>
      <c r="F100" s="9"/>
      <c r="G100" s="9"/>
      <c r="H100" s="9"/>
      <c r="I100" s="9"/>
      <c r="J100" s="9"/>
      <c r="K100" s="9"/>
      <c r="L100" s="8"/>
      <c r="M100" s="8"/>
      <c r="N100" s="51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</row>
    <row r="101" spans="1:33" s="2" customFormat="1" ht="12.75" hidden="1" customHeight="1" x14ac:dyDescent="0.2">
      <c r="A101" s="7"/>
      <c r="B101" s="193"/>
      <c r="C101" s="9"/>
      <c r="D101" s="9"/>
      <c r="E101" s="9"/>
      <c r="F101" s="9"/>
      <c r="G101" s="9"/>
      <c r="H101" s="9"/>
      <c r="I101" s="9"/>
      <c r="J101" s="9"/>
      <c r="K101" s="9"/>
      <c r="L101" s="8"/>
      <c r="M101" s="8"/>
      <c r="N101" s="51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</row>
    <row r="102" spans="1:33" s="2" customFormat="1" ht="12.75" hidden="1" customHeight="1" x14ac:dyDescent="0.2">
      <c r="A102" s="7"/>
      <c r="B102" s="3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50"/>
      <c r="P102" s="25"/>
      <c r="Q102" s="25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74"/>
      <c r="AC102" s="174"/>
      <c r="AD102" s="174"/>
      <c r="AE102" s="174"/>
      <c r="AF102" s="174"/>
      <c r="AG102" s="174"/>
    </row>
    <row r="103" spans="1:33" s="2" customFormat="1" ht="12.75" hidden="1" customHeight="1" x14ac:dyDescent="0.2">
      <c r="A103" s="7"/>
      <c r="B103" s="13" t="s">
        <v>32</v>
      </c>
      <c r="C103" s="10">
        <v>39</v>
      </c>
      <c r="D103" s="10">
        <v>39</v>
      </c>
      <c r="E103" s="10">
        <v>39</v>
      </c>
      <c r="F103" s="10">
        <v>102</v>
      </c>
      <c r="G103" s="10">
        <v>102</v>
      </c>
      <c r="H103" s="10">
        <v>448</v>
      </c>
      <c r="I103" s="10">
        <v>448</v>
      </c>
      <c r="J103" s="10">
        <v>936</v>
      </c>
      <c r="K103" s="10">
        <v>936</v>
      </c>
      <c r="L103" s="10">
        <v>2078</v>
      </c>
      <c r="M103" s="10">
        <v>2078</v>
      </c>
      <c r="N103" s="10">
        <v>2078</v>
      </c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</row>
    <row r="104" spans="1:33" s="2" customFormat="1" ht="12.75" hidden="1" customHeight="1" x14ac:dyDescent="0.2">
      <c r="A104" s="7"/>
      <c r="B104" s="13" t="s">
        <v>53</v>
      </c>
      <c r="C104" s="10">
        <v>1000</v>
      </c>
      <c r="D104" s="10">
        <v>1000</v>
      </c>
      <c r="E104" s="10">
        <v>1000</v>
      </c>
      <c r="F104" s="10">
        <v>750</v>
      </c>
      <c r="G104" s="10">
        <v>750</v>
      </c>
      <c r="H104" s="10">
        <v>550</v>
      </c>
      <c r="I104" s="10">
        <v>550</v>
      </c>
      <c r="J104" s="10">
        <v>520</v>
      </c>
      <c r="K104" s="10">
        <v>520</v>
      </c>
      <c r="L104" s="10">
        <v>420</v>
      </c>
      <c r="M104" s="10">
        <v>420</v>
      </c>
      <c r="N104" s="10">
        <v>150</v>
      </c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</row>
    <row r="105" spans="1:33" s="2" customFormat="1" ht="12.75" hidden="1" customHeight="1" x14ac:dyDescent="0.2">
      <c r="A105" s="7"/>
      <c r="B105" s="13" t="s">
        <v>54</v>
      </c>
      <c r="C105" s="10">
        <v>8.5</v>
      </c>
      <c r="D105" s="10">
        <v>5.5</v>
      </c>
      <c r="E105" s="10">
        <v>3.5</v>
      </c>
      <c r="F105" s="10">
        <v>8.5</v>
      </c>
      <c r="G105" s="10">
        <v>5</v>
      </c>
      <c r="H105" s="10">
        <v>8.5</v>
      </c>
      <c r="I105" s="10">
        <v>5</v>
      </c>
      <c r="J105" s="10">
        <v>8.5</v>
      </c>
      <c r="K105" s="10">
        <v>5</v>
      </c>
      <c r="L105" s="10">
        <v>8.5</v>
      </c>
      <c r="M105" s="10">
        <v>5.5</v>
      </c>
      <c r="N105" s="10">
        <v>5.5</v>
      </c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</row>
    <row r="106" spans="1:33" s="2" customFormat="1" ht="12.75" hidden="1" customHeight="1" x14ac:dyDescent="0.2">
      <c r="A106" s="7"/>
      <c r="B106" s="13" t="s">
        <v>33</v>
      </c>
      <c r="C106" s="10">
        <v>1400</v>
      </c>
      <c r="D106" s="10">
        <v>1400</v>
      </c>
      <c r="E106" s="10">
        <v>1400</v>
      </c>
      <c r="F106" s="10">
        <v>1000</v>
      </c>
      <c r="G106" s="10">
        <v>1000</v>
      </c>
      <c r="H106" s="10">
        <v>750</v>
      </c>
      <c r="I106" s="10">
        <v>750</v>
      </c>
      <c r="J106" s="10">
        <v>700</v>
      </c>
      <c r="K106" s="10">
        <v>700</v>
      </c>
      <c r="L106" s="10">
        <v>650</v>
      </c>
      <c r="M106" s="10">
        <v>650</v>
      </c>
      <c r="N106" s="10">
        <v>650</v>
      </c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</row>
    <row r="107" spans="1:33" s="2" customFormat="1" ht="12.75" hidden="1" customHeight="1" x14ac:dyDescent="0.2">
      <c r="A107" s="7"/>
      <c r="B107" s="13" t="s">
        <v>34</v>
      </c>
      <c r="C107" s="10">
        <v>12</v>
      </c>
      <c r="D107" s="10">
        <v>8</v>
      </c>
      <c r="E107" s="10">
        <v>5</v>
      </c>
      <c r="F107" s="10">
        <v>12</v>
      </c>
      <c r="G107" s="10">
        <v>7</v>
      </c>
      <c r="H107" s="10">
        <v>12</v>
      </c>
      <c r="I107" s="10">
        <v>7</v>
      </c>
      <c r="J107" s="10">
        <v>12</v>
      </c>
      <c r="K107" s="10">
        <v>7</v>
      </c>
      <c r="L107" s="10">
        <v>12</v>
      </c>
      <c r="M107" s="10">
        <v>8</v>
      </c>
      <c r="N107" s="10">
        <v>12</v>
      </c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</row>
    <row r="108" spans="1:33" s="2" customFormat="1" ht="12.75" hidden="1" customHeight="1" x14ac:dyDescent="0.2">
      <c r="A108" s="7"/>
      <c r="B108" s="13" t="s">
        <v>55</v>
      </c>
      <c r="C108" s="10">
        <f>IF($W$18&lt;C105,C106,(C106-((C106-C104)*($W$18-C105)/(C107-C105))))</f>
        <v>1400</v>
      </c>
      <c r="D108" s="10">
        <f t="shared" ref="D108:N108" si="39">IF($W$18&lt;D105,D106,(D106-((D106-D104)*($W$18-D105)/(D107-D105))))</f>
        <v>1400</v>
      </c>
      <c r="E108" s="10">
        <f t="shared" si="39"/>
        <v>1400</v>
      </c>
      <c r="F108" s="10">
        <f t="shared" si="39"/>
        <v>1000</v>
      </c>
      <c r="G108" s="10">
        <f t="shared" si="39"/>
        <v>1000</v>
      </c>
      <c r="H108" s="10">
        <f t="shared" si="39"/>
        <v>750</v>
      </c>
      <c r="I108" s="10">
        <f t="shared" si="39"/>
        <v>750</v>
      </c>
      <c r="J108" s="10">
        <f t="shared" si="39"/>
        <v>700</v>
      </c>
      <c r="K108" s="10">
        <f t="shared" si="39"/>
        <v>700</v>
      </c>
      <c r="L108" s="10">
        <f t="shared" si="39"/>
        <v>650</v>
      </c>
      <c r="M108" s="10">
        <f t="shared" si="39"/>
        <v>650</v>
      </c>
      <c r="N108" s="10">
        <f t="shared" si="39"/>
        <v>650</v>
      </c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</row>
    <row r="109" spans="1:33" s="2" customFormat="1" ht="12.75" hidden="1" customHeight="1" x14ac:dyDescent="0.2">
      <c r="A109" s="7"/>
      <c r="B109" s="13"/>
      <c r="C109" s="8">
        <f>((LOG($X$19))^3)*0.37</f>
        <v>5.6239768112875641</v>
      </c>
      <c r="D109" s="8">
        <f>((LOG($X$19))^3)*0.37</f>
        <v>5.6239768112875641</v>
      </c>
      <c r="E109" s="8">
        <f>((LOG($X$19))^3)*0.37</f>
        <v>5.6239768112875641</v>
      </c>
      <c r="F109" s="8">
        <f>((LOG($X$19))^3)*0.15</f>
        <v>2.2799905991706342</v>
      </c>
      <c r="G109" s="8">
        <f>((LOG($X$19))^3)*0.15</f>
        <v>2.2799905991706342</v>
      </c>
      <c r="H109" s="8">
        <f>((LOG($X$19))^3)*0.1</f>
        <v>1.5199937327804229</v>
      </c>
      <c r="I109" s="8">
        <f>((LOG($X$19))^3)*0.1</f>
        <v>1.5199937327804229</v>
      </c>
      <c r="J109" s="8">
        <f>((LOG($X$19))^3)*0.095</f>
        <v>1.4439940461414018</v>
      </c>
      <c r="K109" s="8">
        <f>((LOG($X$19))^3)*0.095</f>
        <v>1.4439940461414018</v>
      </c>
      <c r="L109" s="8">
        <f>((LOG($X$19))^3)*0.08</f>
        <v>1.2159949862243382</v>
      </c>
      <c r="M109" s="8">
        <f>((LOG($X$19))^3)*0.08</f>
        <v>1.2159949862243382</v>
      </c>
      <c r="N109" s="8">
        <f>((LOG($X$19))^3)*0.08</f>
        <v>1.2159949862243382</v>
      </c>
      <c r="O109" s="26" t="s">
        <v>45</v>
      </c>
      <c r="P109" s="25"/>
      <c r="Q109" s="25"/>
      <c r="R109" s="143"/>
      <c r="S109" s="143"/>
      <c r="T109" s="143"/>
      <c r="U109" s="143"/>
      <c r="V109" s="143"/>
      <c r="W109" s="143"/>
      <c r="X109" s="143"/>
      <c r="Y109" s="143"/>
      <c r="Z109" s="143"/>
      <c r="AA109" s="174"/>
      <c r="AB109" s="174"/>
      <c r="AC109" s="174"/>
      <c r="AD109" s="174"/>
      <c r="AE109" s="174"/>
      <c r="AF109" s="174"/>
      <c r="AG109" s="174"/>
    </row>
    <row r="110" spans="1:33" s="2" customFormat="1" ht="12.75" hidden="1" customHeight="1" x14ac:dyDescent="0.2">
      <c r="A110" s="7"/>
      <c r="B110" s="13"/>
      <c r="C110" s="8">
        <v>8.4600000000000009</v>
      </c>
      <c r="D110" s="8">
        <v>5.47</v>
      </c>
      <c r="E110" s="8">
        <v>4.67</v>
      </c>
      <c r="F110" s="8">
        <v>3.11</v>
      </c>
      <c r="G110" s="8">
        <v>2.2599999999999998</v>
      </c>
      <c r="H110" s="8">
        <v>1.58</v>
      </c>
      <c r="I110" s="8">
        <v>1.1499999999999999</v>
      </c>
      <c r="J110" s="8">
        <v>3.6</v>
      </c>
      <c r="K110" s="8">
        <v>2.9</v>
      </c>
      <c r="L110" s="8">
        <v>3.15</v>
      </c>
      <c r="M110" s="8">
        <v>2.39</v>
      </c>
      <c r="N110" s="8">
        <v>2.39</v>
      </c>
      <c r="O110" s="26" t="s">
        <v>46</v>
      </c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</row>
    <row r="111" spans="1:33" s="2" customFormat="1" ht="12.75" hidden="1" customHeight="1" x14ac:dyDescent="0.2">
      <c r="A111" s="7"/>
      <c r="B111" s="13" t="s">
        <v>47</v>
      </c>
      <c r="C111" s="8" t="e">
        <f t="shared" ref="C111:N111" si="40">((1.9*$W$18)+C110)*C116*C22/1000</f>
        <v>#VALUE!</v>
      </c>
      <c r="D111" s="8">
        <f t="shared" si="40"/>
        <v>0.81912775941575555</v>
      </c>
      <c r="E111" s="8">
        <f t="shared" si="40"/>
        <v>0.77600707886311804</v>
      </c>
      <c r="F111" s="8">
        <f t="shared" si="40"/>
        <v>0.67493806078029894</v>
      </c>
      <c r="G111" s="8">
        <f t="shared" si="40"/>
        <v>0.63220647793700413</v>
      </c>
      <c r="H111" s="8">
        <f t="shared" si="40"/>
        <v>0.59807463534875227</v>
      </c>
      <c r="I111" s="8">
        <f t="shared" si="40"/>
        <v>0.61149936808691585</v>
      </c>
      <c r="J111" s="8">
        <f t="shared" si="40"/>
        <v>0.80200496593482373</v>
      </c>
      <c r="K111" s="8">
        <f t="shared" si="40"/>
        <v>0.81148953332488738</v>
      </c>
      <c r="L111" s="8">
        <f t="shared" si="40"/>
        <v>0.86001229671129531</v>
      </c>
      <c r="M111" s="8">
        <f t="shared" si="40"/>
        <v>0.89210877528755417</v>
      </c>
      <c r="N111" s="8">
        <f t="shared" si="40"/>
        <v>1.0233717271105705</v>
      </c>
      <c r="O111" s="26" t="s">
        <v>47</v>
      </c>
      <c r="P111" s="25"/>
      <c r="Q111" s="25"/>
      <c r="R111" s="143"/>
      <c r="S111" s="143"/>
      <c r="T111" s="143"/>
      <c r="U111" s="143"/>
      <c r="V111" s="143"/>
      <c r="W111" s="143"/>
      <c r="X111" s="143"/>
      <c r="Y111" s="143"/>
      <c r="Z111" s="143"/>
      <c r="AA111" s="174"/>
      <c r="AB111" s="174"/>
      <c r="AC111" s="174"/>
      <c r="AD111" s="174"/>
      <c r="AE111" s="174"/>
      <c r="AF111" s="174"/>
      <c r="AG111" s="174"/>
    </row>
    <row r="112" spans="1:33" s="2" customFormat="1" ht="12.75" hidden="1" customHeight="1" x14ac:dyDescent="0.2">
      <c r="A112" s="7"/>
      <c r="B112" s="13" t="s">
        <v>48</v>
      </c>
      <c r="C112" s="8" t="e">
        <f t="shared" ref="C112:N112" si="41">C109*C116*C22/1000</f>
        <v>#VALUE!</v>
      </c>
      <c r="D112" s="8">
        <f t="shared" si="41"/>
        <v>0.38009534030001224</v>
      </c>
      <c r="E112" s="8">
        <f t="shared" si="41"/>
        <v>0.38553408276688833</v>
      </c>
      <c r="F112" s="8">
        <f t="shared" si="41"/>
        <v>0.15766930672146928</v>
      </c>
      <c r="G112" s="8">
        <f t="shared" si="41"/>
        <v>0.16177607479586381</v>
      </c>
      <c r="H112" s="8">
        <f t="shared" si="41"/>
        <v>0.11045804343439126</v>
      </c>
      <c r="I112" s="8">
        <f t="shared" si="41"/>
        <v>0.11916348808862835</v>
      </c>
      <c r="J112" s="8">
        <f t="shared" si="41"/>
        <v>0.11298442885714373</v>
      </c>
      <c r="K112" s="8">
        <f t="shared" si="41"/>
        <v>0.12270011043216776</v>
      </c>
      <c r="L112" s="8">
        <f t="shared" si="41"/>
        <v>0.10671128988696052</v>
      </c>
      <c r="M112" s="8">
        <f t="shared" si="41"/>
        <v>0.11999997764561955</v>
      </c>
      <c r="N112" s="8">
        <f t="shared" si="41"/>
        <v>0.13765651429316322</v>
      </c>
      <c r="O112" s="26" t="s">
        <v>48</v>
      </c>
      <c r="P112" s="25"/>
      <c r="Q112" s="25"/>
      <c r="R112" s="143"/>
      <c r="S112" s="143"/>
      <c r="T112" s="143"/>
      <c r="U112" s="143"/>
      <c r="V112" s="143"/>
      <c r="W112" s="143"/>
      <c r="X112" s="143"/>
      <c r="Y112" s="143"/>
      <c r="Z112" s="143"/>
      <c r="AA112" s="174"/>
      <c r="AB112" s="174"/>
      <c r="AC112" s="174"/>
      <c r="AD112" s="174"/>
      <c r="AE112" s="174"/>
      <c r="AF112" s="174"/>
      <c r="AG112" s="174"/>
    </row>
    <row r="113" spans="1:33" s="2" customFormat="1" ht="12.75" hidden="1" customHeight="1" x14ac:dyDescent="0.2">
      <c r="A113" s="7"/>
      <c r="B113" s="13" t="s">
        <v>76</v>
      </c>
      <c r="C113" s="8" t="e">
        <f t="shared" ref="C113:N113" si="42">C111+C112</f>
        <v>#VALUE!</v>
      </c>
      <c r="D113" s="8">
        <f t="shared" si="42"/>
        <v>1.1992230997157678</v>
      </c>
      <c r="E113" s="8">
        <f t="shared" si="42"/>
        <v>1.1615411616300064</v>
      </c>
      <c r="F113" s="8">
        <f t="shared" si="42"/>
        <v>0.83260736750176823</v>
      </c>
      <c r="G113" s="8">
        <f t="shared" si="42"/>
        <v>0.79398255273286789</v>
      </c>
      <c r="H113" s="8">
        <f t="shared" si="42"/>
        <v>0.70853267878314352</v>
      </c>
      <c r="I113" s="8">
        <f t="shared" si="42"/>
        <v>0.73066285617554416</v>
      </c>
      <c r="J113" s="8">
        <f t="shared" si="42"/>
        <v>0.9149893947919675</v>
      </c>
      <c r="K113" s="8">
        <f t="shared" si="42"/>
        <v>0.93418964375705515</v>
      </c>
      <c r="L113" s="8">
        <f t="shared" si="42"/>
        <v>0.96672358659825586</v>
      </c>
      <c r="M113" s="8">
        <f t="shared" si="42"/>
        <v>1.0121087529331738</v>
      </c>
      <c r="N113" s="8">
        <f t="shared" si="42"/>
        <v>1.1610282414037336</v>
      </c>
      <c r="O113" s="26" t="s">
        <v>49</v>
      </c>
      <c r="P113" s="25"/>
      <c r="Q113" s="25"/>
      <c r="R113" s="143"/>
      <c r="S113" s="143"/>
      <c r="T113" s="143"/>
      <c r="U113" s="143"/>
      <c r="V113" s="143"/>
      <c r="W113" s="143"/>
      <c r="X113" s="143"/>
      <c r="Y113" s="143"/>
      <c r="Z113" s="143"/>
      <c r="AA113" s="174"/>
      <c r="AB113" s="174"/>
      <c r="AC113" s="174"/>
      <c r="AD113" s="174"/>
      <c r="AE113" s="174"/>
      <c r="AF113" s="174"/>
      <c r="AG113" s="174"/>
    </row>
    <row r="114" spans="1:33" s="2" customFormat="1" ht="12.75" hidden="1" customHeight="1" x14ac:dyDescent="0.2">
      <c r="A114" s="7"/>
      <c r="B114" s="13" t="s">
        <v>75</v>
      </c>
      <c r="C114" s="8" t="str">
        <f>IF(C116="N/A","N/A",C113*9550/C116)</f>
        <v>N/A</v>
      </c>
      <c r="D114" s="8">
        <f t="shared" ref="D114:N114" si="43">IF(D116="N/A","N/A",D113*9550/D116)</f>
        <v>14.064763219467087</v>
      </c>
      <c r="E114" s="8">
        <f t="shared" si="43"/>
        <v>17.961462618805385</v>
      </c>
      <c r="F114" s="8">
        <f t="shared" si="43"/>
        <v>23.226345864860068</v>
      </c>
      <c r="G114" s="8">
        <f t="shared" si="43"/>
        <v>33.448560399510896</v>
      </c>
      <c r="H114" s="8">
        <f t="shared" si="43"/>
        <v>64.620033462748808</v>
      </c>
      <c r="I114" s="8">
        <f t="shared" si="43"/>
        <v>100.13168266655966</v>
      </c>
      <c r="J114" s="8">
        <f t="shared" si="43"/>
        <v>201.0197576531707</v>
      </c>
      <c r="K114" s="8">
        <f t="shared" si="43"/>
        <v>262.48160785162599</v>
      </c>
      <c r="L114" s="8">
        <f t="shared" si="43"/>
        <v>369.68247094420661</v>
      </c>
      <c r="M114" s="8">
        <f t="shared" si="43"/>
        <v>514.20994862182272</v>
      </c>
      <c r="N114" s="8">
        <f t="shared" si="43"/>
        <v>514.20994862182272</v>
      </c>
      <c r="O114" s="25"/>
      <c r="P114" s="25"/>
      <c r="Q114" s="25"/>
      <c r="R114" s="143"/>
      <c r="S114" s="143"/>
      <c r="T114" s="143"/>
      <c r="U114" s="143"/>
      <c r="V114" s="143"/>
      <c r="W114" s="143"/>
      <c r="X114" s="143"/>
      <c r="Y114" s="143"/>
      <c r="Z114" s="143"/>
      <c r="AA114" s="174"/>
      <c r="AB114" s="174"/>
      <c r="AC114" s="174"/>
      <c r="AD114" s="174"/>
      <c r="AE114" s="174"/>
      <c r="AF114" s="174"/>
      <c r="AG114" s="174"/>
    </row>
    <row r="115" spans="1:33" hidden="1" x14ac:dyDescent="0.2">
      <c r="A115" s="7"/>
      <c r="O115" s="25"/>
      <c r="P115" s="25"/>
      <c r="Q115" s="25"/>
      <c r="R115" s="143"/>
      <c r="S115" s="143"/>
      <c r="T115" s="143"/>
      <c r="U115" s="143"/>
      <c r="V115" s="143"/>
      <c r="W115" s="143"/>
      <c r="X115" s="143"/>
      <c r="Y115" s="143"/>
      <c r="Z115" s="143"/>
      <c r="AA115" s="40"/>
      <c r="AB115" s="40"/>
      <c r="AC115" s="40"/>
      <c r="AD115" s="40"/>
      <c r="AE115" s="40"/>
      <c r="AF115" s="40"/>
      <c r="AG115" s="40"/>
    </row>
    <row r="116" spans="1:33" s="2" customFormat="1" ht="12.75" hidden="1" customHeight="1" x14ac:dyDescent="0.2">
      <c r="A116" s="7"/>
      <c r="B116" s="12" t="s">
        <v>58</v>
      </c>
      <c r="C116" s="11" t="str">
        <f t="shared" ref="C116:N116" si="44">IF($W$18&gt;C107,"N/A",IF(($X$17+C69)/C22&lt;C106,($X$17+C69)/C22,"N/A"))</f>
        <v>N/A</v>
      </c>
      <c r="D116" s="11">
        <f t="shared" si="44"/>
        <v>814.27468230919283</v>
      </c>
      <c r="E116" s="11">
        <f t="shared" si="44"/>
        <v>617.58434315658963</v>
      </c>
      <c r="F116" s="11">
        <f t="shared" si="44"/>
        <v>342.34400907944075</v>
      </c>
      <c r="G116" s="11">
        <f t="shared" si="44"/>
        <v>226.69236846168616</v>
      </c>
      <c r="H116" s="11">
        <f t="shared" si="44"/>
        <v>104.71190929171624</v>
      </c>
      <c r="I116" s="11">
        <f t="shared" si="44"/>
        <v>69.686537673722611</v>
      </c>
      <c r="J116" s="11">
        <f t="shared" si="44"/>
        <v>43.469103844705892</v>
      </c>
      <c r="K116" s="11">
        <f t="shared" si="44"/>
        <v>33.989090401042404</v>
      </c>
      <c r="L116" s="11">
        <f t="shared" si="44"/>
        <v>24.973351396492614</v>
      </c>
      <c r="M116" s="11">
        <f t="shared" si="44"/>
        <v>18.797066483092166</v>
      </c>
      <c r="N116" s="11">
        <f t="shared" si="44"/>
        <v>21.562826108524455</v>
      </c>
      <c r="O116" s="129" t="s">
        <v>70</v>
      </c>
      <c r="P116" s="25"/>
      <c r="Q116" s="25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74"/>
      <c r="AC116" s="174"/>
      <c r="AD116" s="174"/>
      <c r="AE116" s="174"/>
      <c r="AF116" s="174"/>
      <c r="AG116" s="174"/>
    </row>
    <row r="117" spans="1:33" s="2" customFormat="1" ht="12.75" hidden="1" customHeight="1" x14ac:dyDescent="0.2">
      <c r="A117" s="7"/>
      <c r="B117" s="12" t="s">
        <v>56</v>
      </c>
      <c r="C117" s="11" t="str">
        <f t="shared" ref="C117:M117" si="45">IF($W$18&gt;C107,"N/A",IF(($X$17+C70)/C22&lt;C106,($X$17+C70)/C22,"N/A"))</f>
        <v>N/A</v>
      </c>
      <c r="D117" s="11">
        <f t="shared" si="45"/>
        <v>817.57934954986615</v>
      </c>
      <c r="E117" s="11">
        <f t="shared" si="45"/>
        <v>620.0554006428589</v>
      </c>
      <c r="F117" s="11">
        <f t="shared" si="45"/>
        <v>343.9629940014234</v>
      </c>
      <c r="G117" s="11">
        <f t="shared" si="45"/>
        <v>228.64723060184369</v>
      </c>
      <c r="H117" s="11">
        <f t="shared" si="45"/>
        <v>105.93052517741606</v>
      </c>
      <c r="I117" s="11">
        <f t="shared" si="45"/>
        <v>70.324197226076819</v>
      </c>
      <c r="J117" s="11">
        <f t="shared" si="45"/>
        <v>44.196824994374843</v>
      </c>
      <c r="K117" s="11">
        <f t="shared" si="45"/>
        <v>34.91744769049928</v>
      </c>
      <c r="L117" s="11">
        <f t="shared" si="45"/>
        <v>25.543757709541737</v>
      </c>
      <c r="M117" s="11">
        <f t="shared" si="45"/>
        <v>19.656098390544145</v>
      </c>
      <c r="N117" s="54"/>
      <c r="O117" s="129" t="s">
        <v>71</v>
      </c>
      <c r="P117" s="25"/>
      <c r="Q117" s="25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74"/>
      <c r="AC117" s="174"/>
      <c r="AD117" s="174"/>
      <c r="AE117" s="174"/>
      <c r="AF117" s="174"/>
      <c r="AG117" s="174"/>
    </row>
    <row r="118" spans="1:33" s="2" customFormat="1" ht="12.75" hidden="1" customHeight="1" x14ac:dyDescent="0.2">
      <c r="A118" s="7"/>
      <c r="B118" s="12" t="s">
        <v>57</v>
      </c>
      <c r="C118" s="11" t="str">
        <f t="shared" ref="C118:K118" si="46">IF($W$18&gt;C107,"N/A",IF(($X$17+C71)/C22&lt;C106,($X$17+C71)/C22,"N/A"))</f>
        <v>N/A</v>
      </c>
      <c r="D118" s="11">
        <f t="shared" si="46"/>
        <v>819.99429868728146</v>
      </c>
      <c r="E118" s="11">
        <f t="shared" si="46"/>
        <v>622.26034424599152</v>
      </c>
      <c r="F118" s="11">
        <f t="shared" si="46"/>
        <v>345.50364094331002</v>
      </c>
      <c r="G118" s="11">
        <f t="shared" si="46"/>
        <v>230.53468370268541</v>
      </c>
      <c r="H118" s="11">
        <f t="shared" si="46"/>
        <v>106.46002771402991</v>
      </c>
      <c r="I118" s="11">
        <f t="shared" si="46"/>
        <v>71.599516330785249</v>
      </c>
      <c r="J118" s="11">
        <f t="shared" si="46"/>
        <v>44.719416692459255</v>
      </c>
      <c r="K118" s="11">
        <f t="shared" si="46"/>
        <v>35.423824393839389</v>
      </c>
      <c r="L118" s="10"/>
      <c r="M118" s="10"/>
      <c r="N118" s="50"/>
      <c r="P118" s="25"/>
      <c r="Q118" s="25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74"/>
      <c r="AC118" s="174"/>
      <c r="AD118" s="174"/>
      <c r="AE118" s="174"/>
      <c r="AF118" s="174"/>
      <c r="AG118" s="174"/>
    </row>
    <row r="119" spans="1:33" s="2" customFormat="1" hidden="1" x14ac:dyDescent="0.2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</row>
    <row r="120" spans="1:33" s="2" customFormat="1" hidden="1" x14ac:dyDescent="0.2">
      <c r="A120" s="7"/>
      <c r="B120" s="21" t="s">
        <v>42</v>
      </c>
      <c r="C120" s="11">
        <v>22.2</v>
      </c>
      <c r="D120" s="11">
        <v>35</v>
      </c>
      <c r="E120" s="11">
        <v>35</v>
      </c>
      <c r="F120" s="11">
        <v>35</v>
      </c>
      <c r="G120" s="11">
        <v>47.6</v>
      </c>
      <c r="H120" s="11">
        <v>47.6</v>
      </c>
      <c r="I120" s="11">
        <v>72.3</v>
      </c>
      <c r="J120" s="11">
        <v>72.3</v>
      </c>
      <c r="K120" s="11">
        <v>97.6</v>
      </c>
      <c r="L120" s="11">
        <v>97.6</v>
      </c>
      <c r="M120" s="11">
        <v>140</v>
      </c>
      <c r="N120" s="5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</row>
    <row r="121" spans="1:33" s="2" customFormat="1" hidden="1" x14ac:dyDescent="0.2">
      <c r="A121" s="7"/>
      <c r="B121" s="21" t="s">
        <v>43</v>
      </c>
      <c r="C121" s="11">
        <v>387.07563084879837</v>
      </c>
      <c r="D121" s="11">
        <v>962.11275016187415</v>
      </c>
      <c r="E121" s="11">
        <v>962.11275016187415</v>
      </c>
      <c r="F121" s="11">
        <v>962.11275016187415</v>
      </c>
      <c r="G121" s="11">
        <v>1779.5237426994026</v>
      </c>
      <c r="H121" s="11">
        <v>1779.5237426994026</v>
      </c>
      <c r="I121" s="11">
        <v>4105.5039655458477</v>
      </c>
      <c r="J121" s="11">
        <v>4105.5039655458477</v>
      </c>
      <c r="K121" s="11">
        <v>7481.5144089648757</v>
      </c>
      <c r="L121" s="11">
        <v>7481.5144089648757</v>
      </c>
      <c r="M121" s="11">
        <v>15393.804002589986</v>
      </c>
      <c r="N121" s="54"/>
      <c r="P121" s="23"/>
      <c r="Q121" s="23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4"/>
      <c r="AB121" s="174"/>
      <c r="AC121" s="174"/>
      <c r="AD121" s="174"/>
      <c r="AE121" s="174"/>
      <c r="AF121" s="174"/>
      <c r="AG121" s="174"/>
    </row>
    <row r="122" spans="1:33" s="2" customFormat="1" hidden="1" x14ac:dyDescent="0.2">
      <c r="A122" s="7"/>
      <c r="B122" s="21" t="s">
        <v>44</v>
      </c>
      <c r="C122" s="11"/>
      <c r="D122" s="11"/>
      <c r="E122" s="11">
        <v>1849</v>
      </c>
      <c r="F122" s="11">
        <v>1889</v>
      </c>
      <c r="G122" s="11">
        <v>3489</v>
      </c>
      <c r="H122" s="11">
        <v>4733</v>
      </c>
      <c r="I122" s="11">
        <v>8273</v>
      </c>
      <c r="J122" s="11">
        <v>8914</v>
      </c>
      <c r="K122" s="11">
        <v>13778</v>
      </c>
      <c r="L122" s="11">
        <v>15383</v>
      </c>
      <c r="M122" s="11"/>
      <c r="N122" s="5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</row>
    <row r="123" spans="1:33" s="2" customFormat="1" hidden="1" x14ac:dyDescent="0.2">
      <c r="A123" s="7"/>
      <c r="B123" s="21" t="s">
        <v>67</v>
      </c>
      <c r="C123" s="10"/>
      <c r="D123" s="10"/>
      <c r="E123" s="9">
        <f t="shared" ref="E123:L123" si="47">((E96-E87)*(E121/E122*1.3))+E87</f>
        <v>2.3737704974772158</v>
      </c>
      <c r="F123" s="9">
        <f t="shared" si="47"/>
        <v>2.2507535426472378</v>
      </c>
      <c r="G123" s="9">
        <f t="shared" si="47"/>
        <v>1.7901476499848585</v>
      </c>
      <c r="H123" s="9">
        <f t="shared" si="47"/>
        <v>1.9065506371653167</v>
      </c>
      <c r="I123" s="9">
        <f t="shared" si="47"/>
        <v>1.6461891157515067</v>
      </c>
      <c r="J123" s="9">
        <f t="shared" si="47"/>
        <v>1.7710722496965994</v>
      </c>
      <c r="K123" s="9">
        <f t="shared" si="47"/>
        <v>1.6318167084102979</v>
      </c>
      <c r="L123" s="9">
        <f t="shared" si="47"/>
        <v>1.7358031528274471</v>
      </c>
      <c r="M123" s="10"/>
      <c r="N123" s="50"/>
      <c r="O123" s="129" t="s">
        <v>70</v>
      </c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</row>
    <row r="124" spans="1:33" s="2" customFormat="1" hidden="1" x14ac:dyDescent="0.2">
      <c r="A124" s="7"/>
      <c r="B124" s="21" t="s">
        <v>68</v>
      </c>
      <c r="C124" s="10"/>
      <c r="D124" s="10"/>
      <c r="E124" s="9">
        <f t="shared" ref="E124:L124" si="48">((E97-E88)*(E121/E122*1.3))+E88</f>
        <v>2.3795616193161786</v>
      </c>
      <c r="F124" s="9">
        <f t="shared" si="48"/>
        <v>2.2555522032512503</v>
      </c>
      <c r="G124" s="9">
        <f t="shared" si="48"/>
        <v>1.7937928489928718</v>
      </c>
      <c r="H124" s="9">
        <f t="shared" si="48"/>
        <v>1.9102088693275201</v>
      </c>
      <c r="I124" s="9">
        <f t="shared" si="48"/>
        <v>1.6473844050400273</v>
      </c>
      <c r="J124" s="9">
        <f t="shared" si="48"/>
        <v>1.7730705220117475</v>
      </c>
      <c r="K124" s="9">
        <f t="shared" si="48"/>
        <v>1.6336639099485046</v>
      </c>
      <c r="L124" s="9">
        <f t="shared" si="48"/>
        <v>1.7373343739668861</v>
      </c>
      <c r="M124" s="10"/>
      <c r="N124" s="50"/>
      <c r="O124" s="129" t="s">
        <v>71</v>
      </c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</row>
    <row r="125" spans="1:33" s="2" customFormat="1" hidden="1" x14ac:dyDescent="0.2">
      <c r="A125" s="7"/>
      <c r="B125" s="21" t="s">
        <v>69</v>
      </c>
      <c r="C125" s="10"/>
      <c r="D125" s="10"/>
      <c r="E125" s="9">
        <f t="shared" ref="E125:K125" si="49">((E98-E89)*(E121/E122*1.3))+E89</f>
        <v>2.3847422308451249</v>
      </c>
      <c r="F125" s="9">
        <f t="shared" si="49"/>
        <v>2.2601298874836853</v>
      </c>
      <c r="G125" s="9">
        <f t="shared" si="49"/>
        <v>1.7973251654041862</v>
      </c>
      <c r="H125" s="9">
        <f t="shared" si="49"/>
        <v>1.911801840820371</v>
      </c>
      <c r="I125" s="9">
        <f t="shared" si="49"/>
        <v>1.6497811634271453</v>
      </c>
      <c r="J125" s="9">
        <f t="shared" si="49"/>
        <v>1.7745081320519247</v>
      </c>
      <c r="K125" s="9">
        <f t="shared" si="49"/>
        <v>1.6346736355434495</v>
      </c>
      <c r="L125" s="9"/>
      <c r="M125" s="10"/>
      <c r="N125" s="50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</row>
    <row r="126" spans="1:33" s="2" customFormat="1" hidden="1" x14ac:dyDescent="0.2">
      <c r="A126" s="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</row>
    <row r="127" spans="1:33" s="2" customFormat="1" hidden="1" x14ac:dyDescent="0.2">
      <c r="A127" s="7"/>
      <c r="B127" s="21" t="s">
        <v>35</v>
      </c>
      <c r="C127" s="11">
        <v>6853</v>
      </c>
      <c r="D127" s="11">
        <v>6853</v>
      </c>
      <c r="E127" s="11">
        <v>6853</v>
      </c>
      <c r="F127" s="11">
        <v>11562</v>
      </c>
      <c r="G127" s="11">
        <v>11562</v>
      </c>
      <c r="H127" s="11">
        <v>26418</v>
      </c>
      <c r="I127" s="11">
        <v>26418</v>
      </c>
      <c r="J127" s="11">
        <v>46835</v>
      </c>
      <c r="K127" s="11">
        <v>46835</v>
      </c>
      <c r="L127" s="11">
        <v>74617</v>
      </c>
      <c r="M127" s="11">
        <v>74617</v>
      </c>
      <c r="N127" s="5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</row>
    <row r="128" spans="1:33" s="2" customFormat="1" hidden="1" x14ac:dyDescent="0.2">
      <c r="A128" s="7"/>
      <c r="B128" s="21" t="s">
        <v>36</v>
      </c>
      <c r="C128" s="27">
        <v>19</v>
      </c>
      <c r="D128" s="27">
        <v>35</v>
      </c>
      <c r="E128" s="27">
        <v>46</v>
      </c>
      <c r="F128" s="27">
        <v>36</v>
      </c>
      <c r="G128" s="27">
        <v>56.1</v>
      </c>
      <c r="H128" s="27">
        <v>55</v>
      </c>
      <c r="I128" s="27">
        <v>90.2</v>
      </c>
      <c r="J128" s="27">
        <v>83</v>
      </c>
      <c r="K128" s="27">
        <v>115</v>
      </c>
      <c r="L128" s="27">
        <v>100</v>
      </c>
      <c r="M128" s="27">
        <v>150</v>
      </c>
      <c r="N128" s="52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</row>
    <row r="129" spans="1:33" hidden="1" x14ac:dyDescent="0.2">
      <c r="A129" s="7"/>
      <c r="B129" s="21" t="s">
        <v>37</v>
      </c>
      <c r="C129" s="11">
        <v>387</v>
      </c>
      <c r="D129" s="11">
        <v>962</v>
      </c>
      <c r="E129" s="11">
        <v>962</v>
      </c>
      <c r="F129" s="11">
        <v>962</v>
      </c>
      <c r="G129" s="11">
        <v>1780</v>
      </c>
      <c r="H129" s="11">
        <v>1780</v>
      </c>
      <c r="I129" s="11">
        <v>4106</v>
      </c>
      <c r="J129" s="11">
        <v>4106</v>
      </c>
      <c r="K129" s="11">
        <v>7482</v>
      </c>
      <c r="L129" s="11">
        <v>7482</v>
      </c>
      <c r="M129" s="11">
        <v>15394</v>
      </c>
      <c r="N129" s="54"/>
      <c r="O129" s="1"/>
      <c r="P129" s="1"/>
      <c r="Q129" s="1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spans="1:33" hidden="1" x14ac:dyDescent="0.2">
      <c r="A130" s="7"/>
      <c r="B130" s="16" t="s">
        <v>38</v>
      </c>
      <c r="C130" s="11">
        <v>56</v>
      </c>
      <c r="D130" s="11">
        <v>56</v>
      </c>
      <c r="E130" s="11">
        <v>56</v>
      </c>
      <c r="F130" s="11">
        <v>54</v>
      </c>
      <c r="G130" s="11">
        <v>54</v>
      </c>
      <c r="H130" s="11">
        <v>56</v>
      </c>
      <c r="I130" s="11">
        <v>56</v>
      </c>
      <c r="J130" s="11">
        <v>75</v>
      </c>
      <c r="K130" s="11">
        <v>79</v>
      </c>
      <c r="L130" s="11">
        <v>70</v>
      </c>
      <c r="M130" s="11">
        <v>35</v>
      </c>
      <c r="N130" s="54"/>
      <c r="O130" s="1"/>
      <c r="P130" s="1"/>
      <c r="Q130" s="1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 spans="1:33" hidden="1" x14ac:dyDescent="0.2">
      <c r="A131" s="7"/>
      <c r="B131" s="16" t="s">
        <v>39</v>
      </c>
      <c r="C131" s="11">
        <v>2175</v>
      </c>
      <c r="D131" s="11">
        <v>2175</v>
      </c>
      <c r="E131" s="11">
        <v>2175</v>
      </c>
      <c r="F131" s="11">
        <v>3212</v>
      </c>
      <c r="G131" s="11">
        <v>3212</v>
      </c>
      <c r="H131" s="11">
        <v>7214</v>
      </c>
      <c r="I131" s="11">
        <v>7214</v>
      </c>
      <c r="J131" s="11">
        <v>13278</v>
      </c>
      <c r="K131" s="11">
        <v>13278</v>
      </c>
      <c r="L131" s="11">
        <v>21084</v>
      </c>
      <c r="M131" s="11">
        <v>21084</v>
      </c>
      <c r="N131" s="54"/>
      <c r="O131" s="1"/>
      <c r="P131" s="1"/>
      <c r="Q131" s="1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 spans="1:33" hidden="1" x14ac:dyDescent="0.2">
      <c r="A132" s="7"/>
      <c r="B132" s="16" t="s">
        <v>77</v>
      </c>
      <c r="C132" s="34">
        <f t="shared" ref="C132:M132" si="50">((C127*C128)+(C129*C130*2)-(C131*C128*2))/1000000</f>
        <v>9.0900999999999996E-2</v>
      </c>
      <c r="D132" s="34">
        <f t="shared" si="50"/>
        <v>0.19534899999999999</v>
      </c>
      <c r="E132" s="34">
        <f t="shared" si="50"/>
        <v>0.222882</v>
      </c>
      <c r="F132" s="34">
        <f t="shared" si="50"/>
        <v>0.28886400000000001</v>
      </c>
      <c r="G132" s="34">
        <f t="shared" si="50"/>
        <v>0.48048180000000007</v>
      </c>
      <c r="H132" s="34">
        <f t="shared" si="50"/>
        <v>0.85880999999999996</v>
      </c>
      <c r="I132" s="34">
        <f t="shared" si="50"/>
        <v>1.5413699999999999</v>
      </c>
      <c r="J132" s="34">
        <f t="shared" si="50"/>
        <v>2.2990569999999999</v>
      </c>
      <c r="K132" s="34">
        <f t="shared" si="50"/>
        <v>3.5142410000000002</v>
      </c>
      <c r="L132" s="34">
        <f t="shared" si="50"/>
        <v>4.2923799999999996</v>
      </c>
      <c r="M132" s="34">
        <f t="shared" si="50"/>
        <v>5.9449300000000003</v>
      </c>
      <c r="N132" s="55"/>
      <c r="O132" s="1"/>
      <c r="P132" s="1"/>
      <c r="Q132" s="1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 spans="1:33" hidden="1" x14ac:dyDescent="0.2">
      <c r="A133" s="7"/>
      <c r="B133" s="4"/>
      <c r="O133" s="1"/>
      <c r="P133" s="1"/>
      <c r="Q133" s="1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spans="1:33" hidden="1" x14ac:dyDescent="0.2">
      <c r="A134" s="7"/>
      <c r="B134" s="16" t="s">
        <v>40</v>
      </c>
      <c r="C134" s="34" t="e">
        <f t="shared" ref="C134:M134" si="51">PI()*C135/1000*C25/60</f>
        <v>#VALUE!</v>
      </c>
      <c r="D134" s="34">
        <f t="shared" si="51"/>
        <v>2.8139312959413951</v>
      </c>
      <c r="E134" s="34">
        <f t="shared" si="51"/>
        <v>2.1342182789761019</v>
      </c>
      <c r="F134" s="34">
        <f t="shared" si="51"/>
        <v>1.5774079550891911</v>
      </c>
      <c r="G134" s="34">
        <f t="shared" si="51"/>
        <v>1.044523449763352</v>
      </c>
      <c r="H134" s="34">
        <f t="shared" si="51"/>
        <v>0.72371676294327636</v>
      </c>
      <c r="I134" s="34">
        <f t="shared" si="51"/>
        <v>0.48163877258172572</v>
      </c>
      <c r="J134" s="34">
        <f t="shared" si="51"/>
        <v>0.40513457798009095</v>
      </c>
      <c r="K134" s="34">
        <f t="shared" si="51"/>
        <v>0.31678030089480541</v>
      </c>
      <c r="L134" s="34">
        <f t="shared" si="51"/>
        <v>0.29290276318888703</v>
      </c>
      <c r="M134" s="34">
        <f t="shared" si="51"/>
        <v>0.22046351029666608</v>
      </c>
      <c r="N134" s="55"/>
      <c r="O134" s="1"/>
      <c r="P134" s="1"/>
      <c r="Q134" s="1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 spans="1:33" s="2" customFormat="1" hidden="1" x14ac:dyDescent="0.2">
      <c r="A135" s="7"/>
      <c r="B135" s="21" t="s">
        <v>41</v>
      </c>
      <c r="C135" s="11">
        <v>66</v>
      </c>
      <c r="D135" s="11">
        <v>66</v>
      </c>
      <c r="E135" s="11">
        <v>66</v>
      </c>
      <c r="F135" s="11">
        <v>88</v>
      </c>
      <c r="G135" s="11">
        <v>88</v>
      </c>
      <c r="H135" s="11">
        <v>132</v>
      </c>
      <c r="I135" s="11">
        <v>132</v>
      </c>
      <c r="J135" s="11">
        <v>178</v>
      </c>
      <c r="K135" s="11">
        <v>178</v>
      </c>
      <c r="L135" s="11">
        <v>224</v>
      </c>
      <c r="M135" s="11">
        <v>224</v>
      </c>
      <c r="N135" s="11">
        <v>224</v>
      </c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</row>
    <row r="136" spans="1:33" hidden="1" x14ac:dyDescent="0.2">
      <c r="A136" s="7"/>
      <c r="B136" s="4"/>
      <c r="O136" s="1"/>
      <c r="P136" s="1"/>
      <c r="Q136" s="1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 spans="1:33" hidden="1" x14ac:dyDescent="0.2">
      <c r="A137" s="7"/>
      <c r="B137" s="31" t="s">
        <v>84</v>
      </c>
      <c r="C137" s="56">
        <v>4</v>
      </c>
      <c r="D137" s="56">
        <v>6</v>
      </c>
      <c r="E137" s="56">
        <v>10</v>
      </c>
      <c r="F137" s="56">
        <v>12</v>
      </c>
      <c r="G137" s="56">
        <v>15</v>
      </c>
      <c r="H137" s="56">
        <v>25</v>
      </c>
      <c r="I137" s="56">
        <v>33</v>
      </c>
      <c r="J137" s="56">
        <v>32</v>
      </c>
      <c r="K137" s="56">
        <v>40</v>
      </c>
      <c r="L137" s="56">
        <v>40</v>
      </c>
      <c r="M137" s="56">
        <v>55</v>
      </c>
      <c r="N137" s="56">
        <v>65</v>
      </c>
      <c r="O137" s="1"/>
      <c r="P137" s="1"/>
      <c r="Q137" s="1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 spans="1:33" hidden="1" x14ac:dyDescent="0.2">
      <c r="A138" s="7"/>
      <c r="B138" s="31" t="s">
        <v>85</v>
      </c>
      <c r="C138" s="56">
        <v>10</v>
      </c>
      <c r="D138" s="56">
        <v>12</v>
      </c>
      <c r="E138" s="56">
        <v>17</v>
      </c>
      <c r="F138" s="56">
        <v>20</v>
      </c>
      <c r="G138" s="56">
        <v>25</v>
      </c>
      <c r="H138" s="56">
        <v>40</v>
      </c>
      <c r="I138" s="56">
        <v>60</v>
      </c>
      <c r="J138" s="56">
        <v>48</v>
      </c>
      <c r="K138" s="56">
        <v>58</v>
      </c>
      <c r="L138" s="56">
        <v>65</v>
      </c>
      <c r="M138" s="56">
        <v>100</v>
      </c>
      <c r="N138" s="56">
        <v>115</v>
      </c>
      <c r="O138" s="1"/>
      <c r="P138" s="1"/>
      <c r="Q138" s="1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 spans="1:33" hidden="1" x14ac:dyDescent="0.2">
      <c r="A139" s="7"/>
      <c r="B139" s="31" t="s">
        <v>108</v>
      </c>
      <c r="C139" s="35">
        <f>IF($W$18&gt;C107,"N/A",(((C138-C137)*$W$18/C107)+C137))</f>
        <v>5.75</v>
      </c>
      <c r="D139" s="35">
        <f t="shared" ref="D139:N139" si="52">IF($W$18&gt;D107,"N/A",(((D138-D137)*$W$18/D107)+D137))</f>
        <v>8.625</v>
      </c>
      <c r="E139" s="35">
        <f t="shared" si="52"/>
        <v>14.9</v>
      </c>
      <c r="F139" s="35">
        <f t="shared" si="52"/>
        <v>14.333333333333334</v>
      </c>
      <c r="G139" s="35">
        <f t="shared" si="52"/>
        <v>20</v>
      </c>
      <c r="H139" s="35">
        <f t="shared" si="52"/>
        <v>29.375</v>
      </c>
      <c r="I139" s="35">
        <f t="shared" si="52"/>
        <v>46.5</v>
      </c>
      <c r="J139" s="35">
        <f t="shared" si="52"/>
        <v>36.666666666666664</v>
      </c>
      <c r="K139" s="35">
        <f t="shared" si="52"/>
        <v>49</v>
      </c>
      <c r="L139" s="35">
        <f t="shared" si="52"/>
        <v>47.291666666666664</v>
      </c>
      <c r="M139" s="35">
        <f t="shared" si="52"/>
        <v>74.6875</v>
      </c>
      <c r="N139" s="35">
        <f t="shared" si="52"/>
        <v>79.583333333333329</v>
      </c>
      <c r="O139" s="1"/>
      <c r="P139" s="1"/>
      <c r="Q139" s="1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spans="1:33" hidden="1" x14ac:dyDescent="0.2">
      <c r="A140" s="7"/>
      <c r="B140" s="31" t="s">
        <v>109</v>
      </c>
      <c r="C140" s="35">
        <f t="shared" ref="C140:N140" si="53">IF(C139="N/A","N/A",(C139*C55))</f>
        <v>0.24263883701713779</v>
      </c>
      <c r="D140" s="35">
        <f t="shared" si="53"/>
        <v>0.36395825552570671</v>
      </c>
      <c r="E140" s="35">
        <f t="shared" si="53"/>
        <v>0.62875107331397451</v>
      </c>
      <c r="F140" s="35">
        <f t="shared" si="53"/>
        <v>0.60483884010069133</v>
      </c>
      <c r="G140" s="35">
        <f t="shared" si="53"/>
        <v>0.84396117223352274</v>
      </c>
      <c r="H140" s="35">
        <f t="shared" si="53"/>
        <v>1.2395679717179866</v>
      </c>
      <c r="I140" s="35">
        <f t="shared" si="53"/>
        <v>1.9622097254429405</v>
      </c>
      <c r="J140" s="35">
        <f t="shared" si="53"/>
        <v>1.5472621490947915</v>
      </c>
      <c r="K140" s="35">
        <f t="shared" si="53"/>
        <v>2.0677048719721309</v>
      </c>
      <c r="L140" s="35">
        <f t="shared" si="53"/>
        <v>1.9956165218438506</v>
      </c>
      <c r="M140" s="35">
        <f t="shared" si="53"/>
        <v>3.1516675025595613</v>
      </c>
      <c r="N140" s="35">
        <f t="shared" si="53"/>
        <v>3.358262164512559</v>
      </c>
      <c r="O140" s="1"/>
      <c r="P140" s="1"/>
      <c r="Q140" s="1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spans="1:33" hidden="1" x14ac:dyDescent="0.2">
      <c r="A141" s="7"/>
      <c r="O141" s="1"/>
      <c r="P141" s="1"/>
      <c r="Q141" s="1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spans="1:33" hidden="1" x14ac:dyDescent="0.2">
      <c r="A142" s="7"/>
      <c r="B142" s="151" t="s">
        <v>155</v>
      </c>
      <c r="C142" s="125">
        <v>3</v>
      </c>
      <c r="D142" s="125">
        <v>3</v>
      </c>
      <c r="E142" s="125">
        <v>4</v>
      </c>
      <c r="F142" s="125">
        <v>4</v>
      </c>
      <c r="G142" s="125">
        <v>6</v>
      </c>
      <c r="H142" s="125">
        <v>6</v>
      </c>
      <c r="I142" s="125">
        <v>10</v>
      </c>
      <c r="J142" s="125">
        <v>10</v>
      </c>
      <c r="K142" s="125">
        <v>12</v>
      </c>
      <c r="L142" s="125"/>
      <c r="M142" s="125"/>
      <c r="N142" s="125"/>
      <c r="O142" s="1"/>
      <c r="P142" s="1"/>
      <c r="Q142" s="1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spans="1:33" hidden="1" x14ac:dyDescent="0.2">
      <c r="A143" s="7"/>
      <c r="B143" s="151" t="s">
        <v>128</v>
      </c>
      <c r="C143" s="125">
        <v>13</v>
      </c>
      <c r="D143" s="125">
        <v>10</v>
      </c>
      <c r="E143" s="125">
        <v>8</v>
      </c>
      <c r="F143" s="125">
        <v>18</v>
      </c>
      <c r="G143" s="125">
        <v>13</v>
      </c>
      <c r="H143" s="125">
        <v>27</v>
      </c>
      <c r="I143" s="125">
        <v>19</v>
      </c>
      <c r="J143" s="125">
        <v>41</v>
      </c>
      <c r="K143" s="125">
        <v>28</v>
      </c>
      <c r="L143" s="125"/>
      <c r="M143" s="125"/>
      <c r="N143" s="125"/>
      <c r="O143" s="1"/>
      <c r="P143" s="1"/>
      <c r="Q143" s="1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spans="1:33" hidden="1" x14ac:dyDescent="0.2">
      <c r="A144" s="7"/>
      <c r="B144" s="151" t="s">
        <v>129</v>
      </c>
      <c r="C144" s="35">
        <f>IF($W$18&gt;C107,"N/A",(((C143-C142)*$W$18/C107)+C142))</f>
        <v>5.9166666666666661</v>
      </c>
      <c r="D144" s="35">
        <f t="shared" ref="D144:K144" si="54">IF($W$18&gt;D107,"N/A",(((D143-D142)*$W$18/D107)+D142))</f>
        <v>6.0625</v>
      </c>
      <c r="E144" s="35">
        <f t="shared" si="54"/>
        <v>6.8</v>
      </c>
      <c r="F144" s="35">
        <f t="shared" si="54"/>
        <v>8.0833333333333321</v>
      </c>
      <c r="G144" s="35">
        <f t="shared" si="54"/>
        <v>9.5</v>
      </c>
      <c r="H144" s="35">
        <f t="shared" si="54"/>
        <v>12.125</v>
      </c>
      <c r="I144" s="35">
        <f t="shared" si="54"/>
        <v>14.5</v>
      </c>
      <c r="J144" s="35">
        <f t="shared" si="54"/>
        <v>19.041666666666664</v>
      </c>
      <c r="K144" s="35">
        <f t="shared" si="54"/>
        <v>20</v>
      </c>
      <c r="L144" s="35"/>
      <c r="M144" s="35"/>
      <c r="N144" s="35"/>
      <c r="O144" s="1"/>
      <c r="P144" s="1"/>
      <c r="Q144" s="1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spans="1:33" hidden="1" x14ac:dyDescent="0.2">
      <c r="A145" s="7"/>
      <c r="B145" s="151" t="s">
        <v>130</v>
      </c>
      <c r="C145" s="35">
        <f t="shared" ref="C145:K145" si="55">IF(C144="N/A","N/A",(C144*C55))</f>
        <v>0.24967184678575044</v>
      </c>
      <c r="D145" s="35">
        <f t="shared" si="55"/>
        <v>0.25582573033328659</v>
      </c>
      <c r="E145" s="35">
        <f t="shared" si="55"/>
        <v>0.2869467985593977</v>
      </c>
      <c r="F145" s="35">
        <f t="shared" si="55"/>
        <v>0.34110097377771537</v>
      </c>
      <c r="G145" s="35">
        <f t="shared" si="55"/>
        <v>0.4008815568109233</v>
      </c>
      <c r="H145" s="35">
        <f t="shared" si="55"/>
        <v>0.51165146066657319</v>
      </c>
      <c r="I145" s="35">
        <f t="shared" si="55"/>
        <v>0.61187184986930399</v>
      </c>
      <c r="J145" s="35">
        <f t="shared" si="55"/>
        <v>0.80352136606399971</v>
      </c>
      <c r="K145" s="35">
        <f t="shared" si="55"/>
        <v>0.84396117223352274</v>
      </c>
      <c r="L145" s="35"/>
      <c r="M145" s="35"/>
      <c r="N145" s="35"/>
      <c r="O145" s="1"/>
      <c r="P145" s="1"/>
      <c r="Q145" s="1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spans="1:33" hidden="1" x14ac:dyDescent="0.2">
      <c r="A146" s="7"/>
      <c r="O146" s="1"/>
      <c r="P146" s="1"/>
      <c r="Q146" s="1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spans="1:33" hidden="1" x14ac:dyDescent="0.2">
      <c r="A147" s="7"/>
      <c r="O147" s="1"/>
      <c r="P147" s="1"/>
      <c r="Q147" s="1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spans="1:33" hidden="1" x14ac:dyDescent="0.2">
      <c r="A148" s="7"/>
      <c r="B148" s="1" t="s">
        <v>101</v>
      </c>
      <c r="C148" s="4">
        <f t="shared" ref="C148:N148" si="56">C22*C106</f>
        <v>64.400000000000006</v>
      </c>
      <c r="D148" s="4">
        <f t="shared" si="56"/>
        <v>116.2</v>
      </c>
      <c r="E148" s="4">
        <f t="shared" si="56"/>
        <v>155.4</v>
      </c>
      <c r="F148" s="4">
        <f t="shared" si="56"/>
        <v>202</v>
      </c>
      <c r="G148" s="4">
        <f t="shared" si="56"/>
        <v>313</v>
      </c>
      <c r="H148" s="4">
        <f t="shared" si="56"/>
        <v>520.5</v>
      </c>
      <c r="I148" s="4">
        <f t="shared" si="56"/>
        <v>843.75</v>
      </c>
      <c r="J148" s="4">
        <f t="shared" si="56"/>
        <v>1260</v>
      </c>
      <c r="K148" s="4">
        <f t="shared" si="56"/>
        <v>1750</v>
      </c>
      <c r="L148" s="4">
        <f t="shared" si="56"/>
        <v>2284.1</v>
      </c>
      <c r="M148" s="4">
        <f t="shared" si="56"/>
        <v>3412.5</v>
      </c>
      <c r="N148" s="4">
        <f t="shared" si="56"/>
        <v>3412.5</v>
      </c>
      <c r="O148" s="1"/>
      <c r="P148" s="1"/>
      <c r="Q148" s="1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spans="1:33" hidden="1" x14ac:dyDescent="0.2">
      <c r="A149" s="7"/>
      <c r="B149" s="22" t="s">
        <v>107</v>
      </c>
      <c r="C149" s="49">
        <f t="shared" ref="C149:N149" si="57">IF(C140="N/A","N/A",(C140/C148*C106))</f>
        <v>5.2747573264595164</v>
      </c>
      <c r="D149" s="49">
        <f t="shared" si="57"/>
        <v>4.3850392232012858</v>
      </c>
      <c r="E149" s="49">
        <f t="shared" si="57"/>
        <v>5.6644240839096804</v>
      </c>
      <c r="F149" s="49">
        <f t="shared" si="57"/>
        <v>2.9942516836667887</v>
      </c>
      <c r="G149" s="49">
        <f t="shared" si="57"/>
        <v>2.696361572631063</v>
      </c>
      <c r="H149" s="49">
        <f t="shared" si="57"/>
        <v>1.7861209967117964</v>
      </c>
      <c r="I149" s="49">
        <f t="shared" si="57"/>
        <v>1.7441864226159471</v>
      </c>
      <c r="J149" s="49">
        <f t="shared" si="57"/>
        <v>0.85959008283043969</v>
      </c>
      <c r="K149" s="49">
        <f t="shared" si="57"/>
        <v>0.82708194878885233</v>
      </c>
      <c r="L149" s="49">
        <f t="shared" si="57"/>
        <v>0.56790453097434568</v>
      </c>
      <c r="M149" s="49">
        <f t="shared" si="57"/>
        <v>0.6003176195351545</v>
      </c>
      <c r="N149" s="49">
        <f t="shared" si="57"/>
        <v>0.63966898371667791</v>
      </c>
      <c r="O149" s="1"/>
      <c r="P149" s="1"/>
      <c r="Q149" s="1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spans="1:33" hidden="1" x14ac:dyDescent="0.2">
      <c r="A150" s="7"/>
      <c r="O150" s="1"/>
      <c r="P150" s="1"/>
      <c r="Q150" s="1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spans="1:33" hidden="1" x14ac:dyDescent="0.2">
      <c r="A151" s="7"/>
      <c r="O151" s="1"/>
      <c r="P151" s="1"/>
      <c r="Q151" s="1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spans="1:33" hidden="1" x14ac:dyDescent="0.2">
      <c r="A152" s="7"/>
      <c r="B152" s="157" t="s">
        <v>134</v>
      </c>
      <c r="O152" s="1"/>
      <c r="P152" s="1"/>
      <c r="Q152" s="1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spans="1:33" hidden="1" x14ac:dyDescent="0.2">
      <c r="A153" s="7"/>
      <c r="B153" s="4" t="s">
        <v>103</v>
      </c>
      <c r="O153" s="1"/>
      <c r="P153" s="1"/>
      <c r="Q153" s="1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spans="1:33" ht="12.75" hidden="1" customHeight="1" x14ac:dyDescent="0.2">
      <c r="A154" s="7"/>
      <c r="B154" s="48">
        <v>0</v>
      </c>
      <c r="C154" s="153">
        <f>(($C$56*B154^6)+($C$57*B154^5)-($C$58*B154^4)+($C$59*B154^3)-($C$60*B154^2)+($C$61*B154))*$C$62*$C$55</f>
        <v>0</v>
      </c>
      <c r="D154" s="48">
        <f>(-($D$56*B154^6)+($D$57*B154^5)-($D$58*B154^4)+($D$59*B154^3)-($D$60*B154^2)+($D$61*B154))*$D$62*$D$55</f>
        <v>0</v>
      </c>
      <c r="E154" s="48">
        <f>(($E$56*B154^5)-($E$57*B154^4)+($E$58*B154^3)-($E$59*B154^2)+($E$60*B154))*$E$62*$E$55</f>
        <v>0</v>
      </c>
      <c r="F154" s="48">
        <f>(-(F$56*$B154^6)+(F$57*$B154^5)-(F$58*$B154^4)+(F$59*$B154^3)-(F$60*$B154^2)+(F$61*$B154))*F$62*F$55</f>
        <v>0</v>
      </c>
      <c r="G154" s="48">
        <f>((G$56*$B154^6)+(G$57*$B154^5)-(G$58*$B154^4)+(G$59*$B154^3)-(G$60*$B154^2)+(G$61*$B154))*G$62*G$55</f>
        <v>0</v>
      </c>
      <c r="H154" s="48">
        <f t="shared" ref="H154:N154" si="58">(-(H$56*$B154^6)+(H$57*$B154^5)-(H$58*$B154^4)+(H$59*$B154^3)-(H$60*$B154^2)+(H$61*$B154))*H$62*H$55</f>
        <v>0</v>
      </c>
      <c r="I154" s="48">
        <f>((I$56*$B154^6)+(I$57*$B154^5)-(I$58*$B154^4)+(I$59*$B154^3)-(I$60*$B154^2)+(I$61*$B154))*I$62*I$55</f>
        <v>0</v>
      </c>
      <c r="J154" s="48">
        <f t="shared" si="58"/>
        <v>0</v>
      </c>
      <c r="K154" s="48">
        <f t="shared" si="58"/>
        <v>0</v>
      </c>
      <c r="L154" s="48">
        <f t="shared" si="58"/>
        <v>0</v>
      </c>
      <c r="M154" s="48">
        <f t="shared" si="58"/>
        <v>0</v>
      </c>
      <c r="N154" s="48">
        <f t="shared" si="58"/>
        <v>0</v>
      </c>
      <c r="O154" s="1"/>
      <c r="P154" s="1"/>
      <c r="Q154" s="1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spans="1:33" hidden="1" x14ac:dyDescent="0.2">
      <c r="A155" s="7"/>
      <c r="B155" s="48">
        <f>IF($D$12="Yes",1+$AA$20,1)</f>
        <v>1</v>
      </c>
      <c r="C155" s="153">
        <f>IF(D13="Yes",C415+(($C$56*B155^6)+($C$57*B155^5)-($C$58*B155^4)+($C$59*B155^3)-($C$60*B155^2)+($C$61*B155))*$C$62*$C$55,(($C$56*B155^6)+($C$57*B155^5)-($C$58*B155^4)+($C$59*B155^3)-($C$60*B155^2)+($C$61*B155))*$C$62*$C$55)</f>
        <v>0.41502212625169599</v>
      </c>
      <c r="D155" s="48">
        <f>IF(D13="Yes",D415+(-($D$56*B155^6)+($D$57*B155^5)-($D$58*B155^4)+($D$59*B155^3)-($D$60*B155^2)+($D$61*B155))*$D$62*$D$55,(-($D$56*B155^6)+($D$57*B155^5)-($D$58*B155^4)+($D$59*B155^3)-($D$60*B155^2)+($D$61*B155))*$D$62*$D$55)</f>
        <v>0.90528339100801047</v>
      </c>
      <c r="E155" s="48">
        <f>IF(D13="Yes",E415+(($E$56*B155^5)-($E$57*B155^4)+($E$58*B155^3)-($E$59*B155^2)+($E$60*B155))*$E$62*$E$55,(($E$56*B155^5)-($E$57*B155^4)+($E$58*B155^3)-($E$59*B155^2)+($E$60*B155))*$E$62*$E$55)</f>
        <v>1.5508333876401497</v>
      </c>
      <c r="F155" s="48">
        <f>IF(D13="Yes",F415+(-(F$56*$B155^6)+(F$57*$B155^5)-(F$58*$B155^4)+(F$59*$B155^3)-(F$60*$B155^2)+(F$61*$B155))*F$62*F$55,(-(F$56*$B155^6)+(F$57*$B155^5)-(F$58*$B155^4)+(F$59*$B155^3)-(F$60*$B155^2)+(F$61*$B155))*F$62*F$55)</f>
        <v>1.8907473131840669</v>
      </c>
      <c r="G155" s="48">
        <f>IF(D13="Yes",G415+((G$56*$B155^6)+(G$57*$B155^5)-(G$58*$B155^4)+(G$59*$B155^3)-(G$60*$B155^2)+(G$61*$B155))*G$62*G$55,((G$56*$B155^6)+(G$57*$B155^5)-(G$58*$B155^4)+(G$59*$B155^3)-(G$60*$B155^2)+(G$61*$B155))*G$62*G$55)</f>
        <v>3.2183699738070382</v>
      </c>
      <c r="H155" s="48">
        <f>IF(D13="Yes",H415+(-(H$56*$B155^6)+(H$57*$B155^5)-(H$58*$B155^4)+(H$59*$B155^3)-(H$60*$B155^2)+(H$61*$B155))*H$62*H$55,(-(H$56*$B155^6)+(H$57*$B155^5)-(H$58*$B155^4)+(H$59*$B155^3)-(H$60*$B155^2)+(H$61*$B155))*H$62*H$55)</f>
        <v>3.7725064398838462</v>
      </c>
      <c r="I155" s="48">
        <f>IF(D13="Yes",I415+((I$56*$B155^6)+(I$57*$B155^5)-(I$58*$B155^4)+(I$59*$B155^3)-(I$60*$B155^2)+(I$61*$B155))*I$62*I$55,((I$56*$B155^6)+(I$57*$B155^5)-(I$58*$B155^4)+(I$59*$B155^3)-(I$60*$B155^2)+(I$61*$B155))*I$62*I$55)</f>
        <v>7.3156878642584449</v>
      </c>
      <c r="J155" s="48">
        <f>IF(D13="Yes",D415+(-(J$56*$B155^6)+(J$57*$B155^5)-(J$58*$B155^4)+(J$59*$B155^3)-(J$60*$B155^2)+(J$61*$B155))*J$62*J$55,(-(J$56*$B155^6)+(J$57*$B155^5)-(J$58*$B155^4)+(J$59*$B155^3)-(J$60*$B155^2)+(J$61*$B155))*J$62*J$55)</f>
        <v>6.6989418046035869</v>
      </c>
      <c r="K155" s="48">
        <f>IF(D13="Yes",K415+(-(K$56*$B155^6)+(K$57*$B155^5)-(K$58*$B155^4)+(K$59*$B155^3)-(K$60*$B155^2)+(K$61*$B155))*K$62*K$55,(-(K$56*$B155^6)+(K$57*$B155^5)-(K$58*$B155^4)+(K$59*$B155^3)-(K$60*$B155^2)+(K$61*$B155))*K$62*K$55)</f>
        <v>10.937012040489797</v>
      </c>
      <c r="L155" s="48">
        <f t="shared" ref="L155:N155" si="59">(-(L$56*$B155^6)+(L$57*$B155^5)-(L$58*$B155^4)+(L$59*$B155^3)-(L$60*$B155^2)+(L$61*$B155))*L$62*L$55</f>
        <v>13.277151802837782</v>
      </c>
      <c r="M155" s="48">
        <f t="shared" si="59"/>
        <v>20.333134542036149</v>
      </c>
      <c r="N155" s="48">
        <f t="shared" si="59"/>
        <v>28.912894456632472</v>
      </c>
      <c r="O155" s="1"/>
      <c r="P155" s="1"/>
      <c r="Q155" s="1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spans="1:33" hidden="1" x14ac:dyDescent="0.2">
      <c r="A156" s="7"/>
      <c r="B156" s="48">
        <f>IF($D$12="Yes",2+$AA$20,2)</f>
        <v>2</v>
      </c>
      <c r="C156" s="153">
        <f>IF(D13="Yes",C416+IF(D12="Yes",((($C$63*B156^3)-($C$64*B156^2)+($C$65*B156))+$C$66)*$C$62*$C$55,(($C$56*B156^6)+($C$57*B156^5)-($C$58*B156^4)+($C$59*B156^3)-($C$60*B156^2)+($C$61*B156))*$C$62*$C$55),IF(D12="Yes",((($C$63*B156^3)-($C$64*B156^2)+($C$65*B156))+$C$66)*$C$62*$C$55,(($C$56*B156^6)+($C$57*B156^5)-($C$58*B156^4)+($C$59*B156^3)-($C$60*B156^2)+($C$61*B156))*$C$62*$C$55))</f>
        <v>0.64250764042138087</v>
      </c>
      <c r="D156" s="48">
        <f>IF(D13="Yes",D416+IF(D12="Yes",(((($D$63*B156^3)-($D$64*B156^2)+($D$65*B156))+$D$66)*$D$62*$D$55),(-($D$56*B156^6)+($D$57*B156^5)-($D$58*B156^4)+($D$59*B156^3)-($D$60*B156^2)+($D$61*B156))*$D$62*$D$55),IF(D12="Yes",(((($D$63*B156^3)-($D$64*B156^2)+($D$65*B156))+$D$66)*$D$62*$D$55),(-($D$56*B156^6)+($D$57*B156^5)-($D$58*B156^4)+($D$59*B156^3)-($D$60*B156^2)+($D$61*B156))*$D$62*$D$55))</f>
        <v>1.2807954749815937</v>
      </c>
      <c r="E156" s="48">
        <f>IF(D13="Yes",E416+IF(D12="Yes",(((($E$63*B156^3)-($E$64*B156^2)+($E$65*B156))+$E$66)*$E$62*$E$55),(($E$56*B156^5)-($E$57*B156^4)+($E$58*B156^3)-($E$59*B156^2)+($E$60*B156))*$E$62*$E$55),IF(D12="Yes",(((($E$63*B156^3)-($E$64*B156^2)+($E$65*B156))+$E$66)*$E$62*$E$55),(($E$56*B156^5)-($E$57*B156^4)+($E$58*B156^3)-($E$59*B156^2)+($E$60*B156))*$E$62*$E$55))</f>
        <v>2.1099029305838073</v>
      </c>
      <c r="F156" s="48">
        <f>IF(D13="Yes",F416+IF(D12="Yes",((((F$63*$B156^3)-(F$64*$B156^2)+(F$65*$B156))+F$66)*F$62*F$55),(-(F$56*$B156^6)+(F$57*$B156^5)-(F$58*$B156^4)+(F$59*$B156^3)-(F$60*$B156^2)+(F$61*$B156))*F$62*F$55),IF(D12="Yes",((((F$63*$B156^3)-(F$64*$B156^2)+(F$65*$B156))+F$66)*F$62*F$55),(-(F$56*$B156^6)+(F$57*$B156^5)-(F$58*$B156^4)+(F$59*$B156^3)-(F$60*$B156^2)+(F$61*$B156))*F$62*F$55))</f>
        <v>2.6162796339239192</v>
      </c>
      <c r="G156" s="48">
        <f>IF(D13="Yes",G416+IF(D12="Yes",((((G$63*$B156^3)-(G$64*$B156^2)+(G$65*$B156))+G$66)*G$62*G$55),((G$56*$B156^6)+(G$57*$B156^5)-(G$58*$B156^4)+(G$59*$B156^3)-(G$60*$B156^2)+(G$61*$B156))*G$62*G$55),IF(D12="Yes",((((G$63*$B156^3)-(G$64*$B156^2)+(G$65*$B156))+G$66)*G$62*G$55),((G$56*$B156^6)+(G$57*$B156^5)-(G$58*$B156^4)+(G$59*$B156^3)-(G$60*$B156^2)+(G$61*$B156))*G$62*G$55))</f>
        <v>4.1249783838554555</v>
      </c>
      <c r="H156" s="48">
        <f>IF(D13="Yes",H416+IF(D12="Yes",((((H$63*$B156^3)-(H$64*$B156^2)+(H$65*$B156))+H$66)*H$62*H$55),(-(H$56*$B156^6)+(H$57*$B156^5)-(H$58*$B156^4)+(H$59*$B156^3)-(H$60*$B156^2)+(H$61*$B156))*H$62*H$55),IF(D12="Yes",((((H$63*$B156^3)-(H$64*$B156^2)+(H$65*$B156))+H$66)*H$62*H$55),(-(H$56*$B156^6)+(H$57*$B156^5)-(H$58*$B156^4)+(H$59*$B156^3)-(H$60*$B156^2)+(H$61*$B156))*H$62*H$55))</f>
        <v>5.3169553850711928</v>
      </c>
      <c r="I156" s="48">
        <f>IF(D13="Yes",I416+IF(D12="Yes",(((-($I$63*B156^2)+($I$64*B156)+$I$65)*$I$62*$I$55)),((I$56*$B156^6)+(I$57*$B156^5)-(I$58*$B156^4)+(I$59*$B156^3)-(I$60*$B156^2)+(I$61*$B156))*I$62*I$55),IF(D12="Yes",(((-($I$63*B156^2)+($I$64*B156)+$I$65)*$I$62*$I$55)),((I$56*$B156^6)+(I$57*$B156^5)-(I$58*$B156^4)+(I$59*$B156^3)-(I$60*$B156^2)+(I$61*$B156))*I$62*I$55))</f>
        <v>9.6211573634621601</v>
      </c>
      <c r="J156" s="48">
        <f>IF(D13="Yes",J416+IF(D12="Yes",((-($J$63*B156^2)+($J$64*B156)+$J$65)*$J$62*$J$55),(-(J$56*$B156^6)+(J$57*$B156^5)-(J$58*$B156^4)+(J$59*$B156^3)-(J$60*$B156^2)+(J$61*$B156))*J$62*J$55),IF(D12="Yes",((-($J$63*B156^2)+($J$64*B156)+$J$65)*$J$62*$J$55),(-(J$56*$B156^6)+(J$57*$B156^5)-(J$58*$B156^4)+(J$59*$B156^3)-(J$60*$B156^2)+(J$61*$B156))*J$62*J$55))</f>
        <v>9.6549158103515005</v>
      </c>
      <c r="K156" s="48">
        <f>IF(D13="Yes",K416+IF(D12="Yes",((((K$63*$B156^3)-(K$64*$B156^2)+(K$65*$B156))+K$66)*K$62*K$55),(-(K$56*$B156^6)+(K$57*$B156^5)-(K$58*$B156^4)+(K$59*$B156^3)-(K$60*$B156^2)+(K$61*$B156))*K$62*K$55),IF(D12="Yes",((((K$63*$B156^3)-(K$64*$B156^2)+(K$65*$B156))+K$66)*K$62*K$55),(-(K$56*$B156^6)+(K$57*$B156^5)-(K$58*$B156^4)+(K$59*$B156^3)-(K$60*$B156^2)+(K$61*$B156))*K$62*K$55))</f>
        <v>15.016196036188397</v>
      </c>
      <c r="L156" s="48">
        <f>IF(D12="Yes",((-($L$63*B156^2)+($L$64*B156)+$L$65)*$L$62*$L$55),(-(L$56*$B156^6)+(L$57*$B156^5)-(L$58*$B156^4)+(L$59*$B156^3)-(L$60*$B156^2)+(L$61*$B156))*L$62*L$55)</f>
        <v>17.427798206622246</v>
      </c>
      <c r="M156" s="48">
        <f>IF(D12="Yes",((((M$63*$B156^3)-(M$64*$B156^2)+(M$65*$B156))+M$66)*M$62*M$55),(-(M$56*$B156^6)+(M$57*$B156^5)-(M$58*$B156^4)+(M$59*$B156^3)-(M$60*$B156^2)+(M$61*$B156))*M$62*M$55)</f>
        <v>26.517260031577283</v>
      </c>
      <c r="N156" s="48">
        <f>IF(D12="Yes",((((N$63*$B156^3)-(N$64*$B156^2)+(N$65*$B156))+N$66)*N$62*N$55),(-(N$56*$B156^6)+(N$57*$B156^5)-(N$58*$B156^4)+(N$59*$B156^3)-(N$60*$B156^2)+(N$61*$B156))*N$62*N$55)</f>
        <v>38.386932508550885</v>
      </c>
      <c r="O156" s="1"/>
      <c r="P156" s="1"/>
      <c r="Q156" s="1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spans="1:33" ht="12.75" hidden="1" customHeight="1" x14ac:dyDescent="0.2">
      <c r="A157" s="7"/>
      <c r="B157" s="48">
        <f>IF($D$12="Yes",3+$AA$20,3)</f>
        <v>3</v>
      </c>
      <c r="C157" s="48">
        <f>IF(D13="Yes",C417+((($C$63*B157^3)-($C$64*B157^2)+($C$65*B157))+$C$66)*$C$62*$C$55,((($C$63*B157^3)-($C$64*B157^2)+($C$65*B157))+$C$66)*$C$62*$C$55)</f>
        <v>0.78495562687681608</v>
      </c>
      <c r="D157" s="48">
        <f t="shared" ref="D157:D162" si="60">IF($D$13="Yes",D417+(((($D$63*B157^3)-($D$64*B157^2)+($D$65*B157))+$D$66)*$D$62*$D$55),(((($D$63*B157^3)-($D$64*B157^2)+($D$65*B157))+$D$66)*$D$62*$D$55))</f>
        <v>1.5456304908284735</v>
      </c>
      <c r="E157" s="48">
        <f>IF($D$13="Yes",E417+(((($E$63*B157^3)-($E$64*B157^2)+($E$65*B157))+$E$66)*$E$62*$E$55),(((($E$63*B157^3)-($E$64*B157^2)+($E$65*B157))+$E$66)*$E$62*$E$55))</f>
        <v>2.4778700016776232</v>
      </c>
      <c r="F157" s="48">
        <f t="shared" ref="F157:H161" si="61">IF($D$13="Yes",F417+((((F$63*$B157^3)-(F$64*$B157^2)+(F$65*$B157))+F$66)*F$62*F$55),((((F$63*$B157^3)-(F$64*$B157^2)+(F$65*$B157))+F$66)*F$62*F$55))</f>
        <v>3.036230493421459</v>
      </c>
      <c r="G157" s="48">
        <f t="shared" si="61"/>
        <v>4.7530964862902554</v>
      </c>
      <c r="H157" s="48">
        <f t="shared" si="61"/>
        <v>6.2854810065205227</v>
      </c>
      <c r="I157" s="48">
        <f>IF($D$13="Yes",I417+(((-($I$63*B157^2)+($I$64*B157)+$I$65)*$I$62*$I$55)),(((-($I$63*B157^2)+($I$64*B157)+$I$65)*$I$62*$I$55)))</f>
        <v>11.583367088905099</v>
      </c>
      <c r="J157" s="48">
        <f t="shared" ref="J157:J166" si="62">IF($D$13="Yes",J417+((-($J$63*B157^2)+($J$64*B157)+$J$65)*$J$62*$J$55),((-($J$63*B157^2)+($J$64*B157)+$J$65)*$J$62*$J$55))</f>
        <v>11.469432330653571</v>
      </c>
      <c r="K157" s="48">
        <f t="shared" ref="K157:K162" si="63">IF($D$13="Yes",K417+((((K$63*$B157^3)-(K$64*$B157^2)+(K$65*$B157))+K$66)*K$62*K$55),((((K$63*$B157^3)-(K$64*$B157^2)+(K$65*$B157))+K$66)*K$62*K$55))</f>
        <v>17.783122739356003</v>
      </c>
      <c r="L157" s="48">
        <f>((-($L$63*B157^2)+($L$64*B157)+$L$65)*$L$62*$L$55)</f>
        <v>20.417530659259498</v>
      </c>
      <c r="M157" s="48">
        <f t="shared" ref="M157:N157" si="64">((((M$63*$B157^3)-(M$64*$B157^2)+(M$65*$B157))+M$66)*M$62*M$55)</f>
        <v>30.842561039274091</v>
      </c>
      <c r="N157" s="48">
        <f t="shared" si="64"/>
        <v>44.514090618966264</v>
      </c>
      <c r="O157" s="1"/>
      <c r="P157" s="1"/>
      <c r="Q157" s="1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spans="1:33" hidden="1" x14ac:dyDescent="0.2">
      <c r="A158" s="7"/>
      <c r="B158" s="48">
        <f>IF($D$12="Yes",4+$AA$20,4)</f>
        <v>4</v>
      </c>
      <c r="C158" s="48">
        <f>IF(D13="Yes",C418+((($C$63*B158^3)-($C$64*B158^2)+($C$65*B158))+$C$66)*$C$62*$C$55,((($C$63*B158^3)-($C$64*B158^2)+($C$65*B158))+$C$66)*$C$62*$C$55)</f>
        <v>0.91787529169773463</v>
      </c>
      <c r="D158" s="48">
        <f t="shared" si="60"/>
        <v>1.7797453200060529</v>
      </c>
      <c r="E158" s="48">
        <f>IF($D$13="Yes",E418+(((($E$63*B158^3)-($E$64*B158^2)+($E$65*B158))+$E$66)*$E$62*$E$55),(((($E$63*B158^3)-($E$64*B158^2)+($E$65*B158))+$E$66)*$E$62*$E$55))</f>
        <v>2.7715684896148898</v>
      </c>
      <c r="F158" s="48">
        <f t="shared" si="61"/>
        <v>3.4267186683963269</v>
      </c>
      <c r="G158" s="48">
        <f t="shared" si="61"/>
        <v>5.2997723356045192</v>
      </c>
      <c r="H158" s="48">
        <f t="shared" si="61"/>
        <v>7.2059767976580424</v>
      </c>
      <c r="I158" s="48">
        <f>IF($D$13="Yes",I418+(((-($I$63*B158^2)+($I$64*B158)+$I$65)*$I$62*$I$55)),(((-($I$63*B158^2)+($I$64*B158)+$I$65)*$I$62*$I$55)))</f>
        <v>13.31770729784499</v>
      </c>
      <c r="J158" s="48">
        <f t="shared" si="62"/>
        <v>13.148915063398285</v>
      </c>
      <c r="K158" s="48">
        <f t="shared" si="63"/>
        <v>20.252131148725173</v>
      </c>
      <c r="L158" s="48">
        <f t="shared" ref="L158:L166" si="65">((-($L$63*B158^2)+($L$64*B158)+$L$65)*$L$62*$L$55)</f>
        <v>23.208932236421877</v>
      </c>
      <c r="M158" s="48">
        <f t="shared" ref="M158:N166" si="66">((((M$63*$B158^3)-(M$64*$B158^2)+(M$65*$B158))+M$66)*M$62*M$55)</f>
        <v>34.551770391240417</v>
      </c>
      <c r="N158" s="48">
        <f t="shared" si="66"/>
        <v>49.898562897816142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spans="1:33" hidden="1" x14ac:dyDescent="0.2">
      <c r="A159" s="7"/>
      <c r="B159" s="48">
        <f>IF($D$12="Yes",5+$AA$20,5)</f>
        <v>5</v>
      </c>
      <c r="C159" s="48">
        <f>IF(D13="Yes",C419+((($C$63*B159^3)-($C$64*B159^2)+($C$65*B159))+$C$66)*$C$62*$C$55,((($C$63*B159^3)-($C$64*B159^2)+($C$65*B159))+$C$66)*$C$62*$C$55)</f>
        <v>1.0408699731331872</v>
      </c>
      <c r="D159" s="48">
        <f t="shared" si="60"/>
        <v>1.9841527159210117</v>
      </c>
      <c r="E159" s="48">
        <f>IF($D$13="Yes",E419+(((($E$63*B159^3)-($E$64*B159^2)+($E$65*B159))+$E$66)*$E$62*$E$55),(((($E$63*B159^3)-($E$64*B159^2)+($E$65*B159))+$E$66)*$E$62*$E$55))</f>
        <v>2.9985940449457069</v>
      </c>
      <c r="F159" s="48">
        <f t="shared" si="61"/>
        <v>3.787769477683689</v>
      </c>
      <c r="G159" s="48">
        <f t="shared" si="61"/>
        <v>5.7688037570733002</v>
      </c>
      <c r="H159" s="48">
        <f t="shared" si="61"/>
        <v>8.0784680773189201</v>
      </c>
      <c r="I159" s="48">
        <f>IF($D$13="Yes",I419+(((-($I$63*B159^2)+($I$64*B159)+$I$65)*$I$62*$I$55)),(((-($I$63*B159^2)+($I$64*B159)+$I$65)*$I$62*$I$55)))</f>
        <v>14.824177990281825</v>
      </c>
      <c r="J159" s="48">
        <f t="shared" si="62"/>
        <v>14.693364008585631</v>
      </c>
      <c r="K159" s="48">
        <f t="shared" si="63"/>
        <v>22.430816914846009</v>
      </c>
      <c r="L159" s="48">
        <f t="shared" si="65"/>
        <v>25.802002938109375</v>
      </c>
      <c r="M159" s="48">
        <f t="shared" si="66"/>
        <v>37.771482263311313</v>
      </c>
      <c r="N159" s="48">
        <f t="shared" si="66"/>
        <v>54.742900026436551</v>
      </c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spans="1:33" hidden="1" x14ac:dyDescent="0.2">
      <c r="A160" s="7"/>
      <c r="B160" s="48">
        <f>IF($D$12="Yes",6+$AA$20,6)</f>
        <v>6</v>
      </c>
      <c r="C160" s="48">
        <f>IF(D13="Yes",C420+((($C$63*B160^3)-($C$64*B160^2)+($C$65*B160))+$C$66)*$C$62*$C$55,((($C$63*B160^3)-($C$64*B160^2)+($C$65*B160))+$C$66)*$C$62*$C$55)</f>
        <v>1.1546232797326823</v>
      </c>
      <c r="D160" s="48">
        <f t="shared" si="60"/>
        <v>2.1598654319800312</v>
      </c>
      <c r="E160" s="48"/>
      <c r="F160" s="48">
        <f t="shared" si="61"/>
        <v>4.1194082401187124</v>
      </c>
      <c r="G160" s="48">
        <f t="shared" si="61"/>
        <v>6.1639885759716471</v>
      </c>
      <c r="H160" s="48">
        <f t="shared" si="61"/>
        <v>8.9029801643383202</v>
      </c>
      <c r="I160" s="48">
        <f>IF($D$13="Yes",I420+(((-($I$63*B160^2)+($I$64*B160)+$I$65)*$I$62*$I$55)),(((-($I$63*B160^2)+($I$64*B160)+$I$65)*$I$62*$I$55)))</f>
        <v>16.102779166215615</v>
      </c>
      <c r="J160" s="48">
        <f t="shared" si="62"/>
        <v>16.102779166215615</v>
      </c>
      <c r="K160" s="48">
        <f t="shared" si="63"/>
        <v>24.326775688268619</v>
      </c>
      <c r="L160" s="48">
        <f t="shared" si="65"/>
        <v>28.196742764321993</v>
      </c>
      <c r="M160" s="48">
        <f t="shared" si="66"/>
        <v>40.628290831321785</v>
      </c>
      <c r="N160" s="48">
        <f t="shared" si="66"/>
        <v>59.249652686163572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 spans="1:33" hidden="1" x14ac:dyDescent="0.2">
      <c r="A161" s="7"/>
      <c r="B161" s="48">
        <f>IF($D$12="Yes",7+$AA$20,7)</f>
        <v>7</v>
      </c>
      <c r="C161" s="48">
        <f>IF(D13="Yes",C421+((($C$63*B161^3)-($C$64*B161^2)+($C$65*B161))+$C$66)*$C$62*$C$55,((($C$63*B161^3)-($C$64*B161^2)+($C$65*B161))+$C$66)*$C$62*$C$55)</f>
        <v>1.2598188200457299</v>
      </c>
      <c r="D161" s="48">
        <f t="shared" si="60"/>
        <v>2.3078962215897909</v>
      </c>
      <c r="E161" s="48"/>
      <c r="F161" s="48">
        <f t="shared" si="61"/>
        <v>4.4216602745365652</v>
      </c>
      <c r="G161" s="48">
        <f t="shared" si="61"/>
        <v>6.4891246175746113</v>
      </c>
      <c r="H161" s="48">
        <f t="shared" si="61"/>
        <v>9.6795383775514114</v>
      </c>
      <c r="I161" s="48">
        <f>IF($D$13="Yes",I421+(((-($I$63*B161^2)+($I$64*B161)+$I$65)*$I$62*$I$55)),(((-($I$63*B161^2)+($I$64*B161)+$I$65)*$I$62*$I$55)))</f>
        <v>17.15351082564635</v>
      </c>
      <c r="J161" s="48">
        <f t="shared" si="62"/>
        <v>17.377160536288233</v>
      </c>
      <c r="K161" s="48">
        <f t="shared" si="63"/>
        <v>25.9476031195431</v>
      </c>
      <c r="L161" s="48">
        <f t="shared" si="65"/>
        <v>30.393151715059737</v>
      </c>
      <c r="M161" s="48">
        <f t="shared" si="66"/>
        <v>43.248790271106877</v>
      </c>
      <c r="N161" s="48">
        <f t="shared" si="66"/>
        <v>63.621371558333216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 spans="1:33" hidden="1" x14ac:dyDescent="0.2">
      <c r="A162" s="7"/>
      <c r="B162" s="48">
        <f>IF($D$12="Yes",8+$AA$20,8)</f>
        <v>8</v>
      </c>
      <c r="C162" s="48">
        <f>IF(D13="Yes",C422+((($C$63*B162^3)-($C$64*B162^2)+($C$65*B162))+$C$66)*$C$62*$C$55,((($C$63*B162^3)-($C$64*B162^2)+($C$65*B162))+$C$66)*$C$62*$C$55)</f>
        <v>1.3571402026218387</v>
      </c>
      <c r="D162" s="48">
        <f t="shared" si="60"/>
        <v>2.4292578381569716</v>
      </c>
      <c r="E162" s="48"/>
      <c r="F162" s="48">
        <f>IF($D$13="Yes",F422+((((F$63*$B162^3)-(F$64*$B162^2)+(F$65*$B162))+F$66)*F$62*F$55),((((F$63*$B162^3)-(F$64*$B162^2)+(F$65*$B162))+F$66)*F$62*F$55))</f>
        <v>4.6945508997724135</v>
      </c>
      <c r="G162" s="48"/>
      <c r="H162" s="48">
        <f>IF($D$13="Yes",H422+((((H$63*$B162^3)-(H$64*$B162^2)+(H$65*$B162))+H$66)*H$62*H$55),((((H$63*$B162^3)-(H$64*$B162^2)+(H$65*$B162))+H$66)*H$62*H$55))</f>
        <v>10.408168035793363</v>
      </c>
      <c r="I162" s="48"/>
      <c r="J162" s="48">
        <f t="shared" si="62"/>
        <v>18.51650811880349</v>
      </c>
      <c r="K162" s="48">
        <f t="shared" si="63"/>
        <v>27.30089485921955</v>
      </c>
      <c r="L162" s="48">
        <f t="shared" si="65"/>
        <v>32.391229790322598</v>
      </c>
      <c r="M162" s="48">
        <f t="shared" si="66"/>
        <v>45.759574758501607</v>
      </c>
      <c r="N162" s="48">
        <f t="shared" si="66"/>
        <v>68.060607324281534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 spans="1:33" hidden="1" x14ac:dyDescent="0.2">
      <c r="A163" s="7"/>
      <c r="B163" s="48">
        <f>IF($D$12="Yes",9+$AA$20,9)</f>
        <v>9</v>
      </c>
      <c r="C163" s="48">
        <f>IF(D13="Yes",C423+((($C$63*B163^3)-($C$64*B163^2)+($C$65*B163))+$C$66)*$C$62*$C$55,((($C$63*B163^3)-($C$64*B163^2)+($C$65*B163))+$C$66)*$C$62*$C$55)</f>
        <v>1.4472710360105177</v>
      </c>
      <c r="D163" s="48"/>
      <c r="E163" s="48"/>
      <c r="F163" s="48">
        <f>IF($D$13="Yes",F423+((((F$63*$B163^3)-(F$64*$B163^2)+(F$65*$B163))+F$66)*F$62*F$55),((((F$63*$B163^3)-(F$64*$B163^2)+(F$65*$B163))+F$66)*F$62*F$55))</f>
        <v>4.9381054346614244</v>
      </c>
      <c r="G163" s="48"/>
      <c r="H163" s="48">
        <f>IF($D$13="Yes",H423+((((H$63*$B163^3)-(H$64*$B163^2)+(H$65*$B163))+H$66)*H$62*H$55),((((H$63*$B163^3)-(H$64*$B163^2)+(H$65*$B163))+H$66)*H$62*H$55))</f>
        <v>11.08889445789934</v>
      </c>
      <c r="I163" s="48"/>
      <c r="J163" s="48">
        <f t="shared" si="62"/>
        <v>19.520821913761381</v>
      </c>
      <c r="K163" s="48"/>
      <c r="L163" s="48">
        <f t="shared" si="65"/>
        <v>34.190976990110592</v>
      </c>
      <c r="M163" s="48"/>
      <c r="N163" s="48">
        <f t="shared" si="66"/>
        <v>72.769910665344611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 spans="1:33" hidden="1" x14ac:dyDescent="0.2">
      <c r="A164" s="7"/>
      <c r="B164" s="48">
        <f>IF($D$12="Yes",10+$AA$20,10)</f>
        <v>10</v>
      </c>
      <c r="C164" s="48">
        <f>IF(D13="Yes",C424+((($C$63*B164^3)-($C$64*B164^2)+($C$65*B164))+$C$66)*$C$62*$C$55,((($C$63*B164^3)-($C$64*B164^2)+($C$65*B164))+$C$66)*$C$62*$C$55)</f>
        <v>1.5308949287612761</v>
      </c>
      <c r="D164" s="48"/>
      <c r="E164" s="48"/>
      <c r="F164" s="48">
        <f>IF($D$13="Yes",F424+((((F$63*$B164^3)-(F$64*$B164^2)+(F$65*$B164))+F$66)*F$62*F$55),((((F$63*$B164^3)-(F$64*$B164^2)+(F$65*$B164))+F$66)*F$62*F$55))</f>
        <v>5.1523491980387659</v>
      </c>
      <c r="G164" s="48"/>
      <c r="H164" s="48">
        <f>IF($D$13="Yes",H424+((((H$63*$B164^3)-(H$64*$B164^2)+(H$65*$B164))+H$66)*H$62*H$55),((((H$63*$B164^3)-(H$64*$B164^2)+(H$65*$B164))+H$66)*H$62*H$55))</f>
        <v>11.721742962704509</v>
      </c>
      <c r="I164" s="48"/>
      <c r="J164" s="48">
        <f t="shared" si="62"/>
        <v>20.390101921161907</v>
      </c>
      <c r="K164" s="48"/>
      <c r="L164" s="48">
        <f t="shared" si="65"/>
        <v>35.792393314423698</v>
      </c>
      <c r="M164" s="48"/>
      <c r="N164" s="48">
        <f t="shared" si="66"/>
        <v>77.951832262858431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 spans="1:33" hidden="1" x14ac:dyDescent="0.2">
      <c r="A165" s="7"/>
      <c r="B165" s="48">
        <f>IF($D$12="Yes",11+$AA$20,11)</f>
        <v>11</v>
      </c>
      <c r="C165" s="48">
        <f>IF(D13="Yes",C425+((($C$63*B165^3)-($C$64*B165^2)+($C$65*B165))+$C$66)*$C$62*$C$55,((($C$63*B165^3)-($C$64*B165^2)+($C$65*B165))+$C$66)*$C$62*$C$55)</f>
        <v>1.6086954894236234</v>
      </c>
      <c r="D165" s="48"/>
      <c r="E165" s="48"/>
      <c r="F165" s="48">
        <f>IF($D$13="Yes",F425+((((F$63*$B165^3)-(F$64*$B165^2)+(F$65*$B165))+F$66)*F$62*F$55),((((F$63*$B165^3)-(F$64*$B165^2)+(F$65*$B165))+F$66)*F$62*F$55))</f>
        <v>5.3373075087396034</v>
      </c>
      <c r="G165" s="48"/>
      <c r="H165" s="48">
        <f>IF($D$13="Yes",H425+((((H$63*$B165^3)-(H$64*$B165^2)+(H$65*$B165))+H$66)*H$62*H$55),((((H$63*$B165^3)-(H$64*$B165^2)+(H$65*$B165))+H$66)*H$62*H$55))</f>
        <v>12.306738869044034</v>
      </c>
      <c r="I165" s="48"/>
      <c r="J165" s="48">
        <f t="shared" si="62"/>
        <v>21.124348141005072</v>
      </c>
      <c r="K165" s="48"/>
      <c r="L165" s="48">
        <f t="shared" si="65"/>
        <v>37.195478763261924</v>
      </c>
      <c r="M165" s="48"/>
      <c r="N165" s="48">
        <f t="shared" si="66"/>
        <v>83.808922798159088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 spans="1:33" hidden="1" x14ac:dyDescent="0.2">
      <c r="A166" s="7"/>
      <c r="B166" s="48">
        <f>IF($D$12="Yes",12+$AA$20,12)</f>
        <v>12</v>
      </c>
      <c r="C166" s="48">
        <f>IF(D13="Yes",C426+((($C$63*B166^3)-($C$64*B166^2)+($C$65*B166))+$C$66)*$C$62*$C$55,((($C$63*B166^3)-($C$64*B166^2)+($C$65*B166))+$C$66)*$C$62*$C$55)</f>
        <v>1.6813563265470688</v>
      </c>
      <c r="D166" s="48"/>
      <c r="E166" s="48"/>
      <c r="F166" s="48">
        <f>IF($D$13="Yes",F426+((((F$63*$B166^3)-(F$64*$B166^2)+(F$65*$B166))+F$66)*F$62*F$55),((((F$63*$B166^3)-(F$64*$B166^2)+(F$65*$B166))+F$66)*F$62*F$55))</f>
        <v>5.4930056855991047</v>
      </c>
      <c r="G166" s="48"/>
      <c r="H166" s="48">
        <f>IF($D$13="Yes",H426+((((H$63*$B166^3)-(H$64*$B166^2)+(H$65*$B166))+H$66)*H$62*H$55),((((H$63*$B166^3)-(H$64*$B166^2)+(H$65*$B166))+H$66)*H$62*H$55))</f>
        <v>12.84390749575309</v>
      </c>
      <c r="I166" s="48"/>
      <c r="J166" s="48">
        <f t="shared" si="62"/>
        <v>21.723560573290872</v>
      </c>
      <c r="K166" s="48"/>
      <c r="L166" s="48">
        <f t="shared" si="65"/>
        <v>38.400233336625284</v>
      </c>
      <c r="M166" s="48"/>
      <c r="N166" s="48">
        <f t="shared" si="66"/>
        <v>90.543732952582587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spans="1:33" hidden="1" x14ac:dyDescent="0.2">
      <c r="A167" s="7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spans="1:33" hidden="1" x14ac:dyDescent="0.2"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spans="1:33" hidden="1" x14ac:dyDescent="0.2">
      <c r="B169" s="4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spans="1:33" hidden="1" x14ac:dyDescent="0.2">
      <c r="B170" s="4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spans="1:33" hidden="1" x14ac:dyDescent="0.2">
      <c r="B171" s="4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 spans="1:33" hidden="1" x14ac:dyDescent="0.2">
      <c r="B172" s="157" t="s">
        <v>134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 spans="1:33" hidden="1" x14ac:dyDescent="0.2">
      <c r="B173" s="4" t="s">
        <v>104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 spans="1:33" hidden="1" x14ac:dyDescent="0.2">
      <c r="B174" s="4">
        <v>0</v>
      </c>
      <c r="C174" s="4">
        <f t="shared" ref="C174:N174" si="67">C154/C$22</f>
        <v>0</v>
      </c>
      <c r="D174" s="4">
        <f t="shared" si="67"/>
        <v>0</v>
      </c>
      <c r="E174" s="4">
        <f t="shared" si="67"/>
        <v>0</v>
      </c>
      <c r="F174" s="4">
        <f t="shared" si="67"/>
        <v>0</v>
      </c>
      <c r="G174" s="4">
        <f t="shared" si="67"/>
        <v>0</v>
      </c>
      <c r="H174" s="4">
        <f t="shared" si="67"/>
        <v>0</v>
      </c>
      <c r="I174" s="4">
        <f t="shared" si="67"/>
        <v>0</v>
      </c>
      <c r="J174" s="4">
        <f t="shared" si="67"/>
        <v>0</v>
      </c>
      <c r="K174" s="4">
        <f t="shared" si="67"/>
        <v>0</v>
      </c>
      <c r="L174" s="4">
        <f t="shared" si="67"/>
        <v>0</v>
      </c>
      <c r="M174" s="4">
        <f t="shared" si="67"/>
        <v>0</v>
      </c>
      <c r="N174" s="4">
        <f t="shared" si="67"/>
        <v>0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  <row r="175" spans="1:33" hidden="1" x14ac:dyDescent="0.2">
      <c r="B175" s="4">
        <v>1</v>
      </c>
      <c r="C175" s="48">
        <f>C155/C$22</f>
        <v>9.0222201359064353</v>
      </c>
      <c r="D175" s="48">
        <f t="shared" ref="D175:N175" si="68">D155/D$22</f>
        <v>10.907028807325426</v>
      </c>
      <c r="E175" s="48">
        <f t="shared" si="68"/>
        <v>13.971471960722068</v>
      </c>
      <c r="F175" s="48">
        <f t="shared" si="68"/>
        <v>9.3601352137825078</v>
      </c>
      <c r="G175" s="48">
        <f t="shared" si="68"/>
        <v>10.282332184687023</v>
      </c>
      <c r="H175" s="48">
        <f t="shared" si="68"/>
        <v>5.43588824190756</v>
      </c>
      <c r="I175" s="48">
        <f t="shared" si="68"/>
        <v>6.502833657118618</v>
      </c>
      <c r="J175" s="48">
        <f t="shared" si="68"/>
        <v>3.7216343358908817</v>
      </c>
      <c r="K175" s="48">
        <f t="shared" si="68"/>
        <v>4.374804816195919</v>
      </c>
      <c r="L175" s="48">
        <f t="shared" si="68"/>
        <v>3.7783585096294203</v>
      </c>
      <c r="M175" s="48">
        <f t="shared" si="68"/>
        <v>3.8729780080068856</v>
      </c>
      <c r="N175" s="48">
        <f t="shared" si="68"/>
        <v>5.5072179917395188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</row>
    <row r="176" spans="1:33" hidden="1" x14ac:dyDescent="0.2">
      <c r="B176" s="4">
        <v>2</v>
      </c>
      <c r="C176" s="48">
        <f t="shared" ref="C176:N186" si="69">C156/C$22</f>
        <v>13.967557400464802</v>
      </c>
      <c r="D176" s="48">
        <f t="shared" si="69"/>
        <v>15.431270782910767</v>
      </c>
      <c r="E176" s="48">
        <f t="shared" si="69"/>
        <v>19.00813450976403</v>
      </c>
      <c r="F176" s="48">
        <f t="shared" si="69"/>
        <v>12.951879375860985</v>
      </c>
      <c r="G176" s="48">
        <f t="shared" si="69"/>
        <v>13.17884467685449</v>
      </c>
      <c r="H176" s="48">
        <f t="shared" si="69"/>
        <v>7.6613189986616614</v>
      </c>
      <c r="I176" s="48">
        <f t="shared" si="69"/>
        <v>8.5521398786330316</v>
      </c>
      <c r="J176" s="48">
        <f t="shared" si="69"/>
        <v>5.363842116861945</v>
      </c>
      <c r="K176" s="48">
        <f t="shared" si="69"/>
        <v>6.0064784144753585</v>
      </c>
      <c r="L176" s="48">
        <f t="shared" si="69"/>
        <v>4.9595327850376343</v>
      </c>
      <c r="M176" s="48">
        <f t="shared" si="69"/>
        <v>5.0509066726813874</v>
      </c>
      <c r="N176" s="48">
        <f t="shared" si="69"/>
        <v>7.3117966682954068</v>
      </c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</row>
    <row r="177" spans="2:33" hidden="1" x14ac:dyDescent="0.2">
      <c r="B177" s="4">
        <v>3</v>
      </c>
      <c r="C177" s="48">
        <f t="shared" si="69"/>
        <v>17.064252758191653</v>
      </c>
      <c r="D177" s="48">
        <f t="shared" si="69"/>
        <v>18.622054106367148</v>
      </c>
      <c r="E177" s="48">
        <f t="shared" si="69"/>
        <v>22.323153168266874</v>
      </c>
      <c r="F177" s="48">
        <f t="shared" si="69"/>
        <v>15.030844026838905</v>
      </c>
      <c r="G177" s="48">
        <f t="shared" si="69"/>
        <v>15.18561177728516</v>
      </c>
      <c r="H177" s="48">
        <f t="shared" si="69"/>
        <v>9.0568890583869202</v>
      </c>
      <c r="I177" s="48">
        <f t="shared" si="69"/>
        <v>10.296326301248977</v>
      </c>
      <c r="J177" s="48">
        <f t="shared" si="69"/>
        <v>6.3719068503630947</v>
      </c>
      <c r="K177" s="48">
        <f t="shared" si="69"/>
        <v>7.1132490957424013</v>
      </c>
      <c r="L177" s="48">
        <f t="shared" si="69"/>
        <v>5.8103388330277461</v>
      </c>
      <c r="M177" s="48">
        <f t="shared" si="69"/>
        <v>5.8747735312903036</v>
      </c>
      <c r="N177" s="48">
        <f t="shared" si="69"/>
        <v>8.4788744036126218</v>
      </c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</row>
    <row r="178" spans="2:33" hidden="1" x14ac:dyDescent="0.2">
      <c r="B178" s="4">
        <v>4</v>
      </c>
      <c r="C178" s="48">
        <f t="shared" si="69"/>
        <v>19.953810689081187</v>
      </c>
      <c r="D178" s="48">
        <f t="shared" si="69"/>
        <v>21.442714698868105</v>
      </c>
      <c r="E178" s="48">
        <f t="shared" si="69"/>
        <v>24.969085492026032</v>
      </c>
      <c r="F178" s="48">
        <f t="shared" si="69"/>
        <v>16.963953803942211</v>
      </c>
      <c r="G178" s="48">
        <f t="shared" si="69"/>
        <v>16.932179985956932</v>
      </c>
      <c r="H178" s="48">
        <f t="shared" si="69"/>
        <v>10.383251869824269</v>
      </c>
      <c r="I178" s="48">
        <f t="shared" si="69"/>
        <v>11.837962042528879</v>
      </c>
      <c r="J178" s="48">
        <f t="shared" si="69"/>
        <v>7.3049528129990469</v>
      </c>
      <c r="K178" s="48">
        <f t="shared" si="69"/>
        <v>8.1008524594900688</v>
      </c>
      <c r="L178" s="48">
        <f t="shared" si="69"/>
        <v>6.6047046774108926</v>
      </c>
      <c r="M178" s="48">
        <f t="shared" si="69"/>
        <v>6.5812895983315078</v>
      </c>
      <c r="N178" s="48">
        <f t="shared" si="69"/>
        <v>9.5044881710125981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</row>
    <row r="179" spans="2:33" hidden="1" x14ac:dyDescent="0.2">
      <c r="B179" s="4">
        <v>5</v>
      </c>
      <c r="C179" s="48">
        <f t="shared" si="69"/>
        <v>22.627608111591027</v>
      </c>
      <c r="D179" s="48">
        <f t="shared" si="69"/>
        <v>23.905454408686886</v>
      </c>
      <c r="E179" s="48">
        <f t="shared" si="69"/>
        <v>27.014360765276638</v>
      </c>
      <c r="F179" s="48">
        <f t="shared" si="69"/>
        <v>18.751334047939054</v>
      </c>
      <c r="G179" s="48">
        <f t="shared" si="69"/>
        <v>18.430682929946645</v>
      </c>
      <c r="H179" s="48">
        <f t="shared" si="69"/>
        <v>11.640443915445131</v>
      </c>
      <c r="I179" s="48">
        <f t="shared" si="69"/>
        <v>13.177047102472734</v>
      </c>
      <c r="J179" s="48">
        <f t="shared" si="69"/>
        <v>8.1629800047697945</v>
      </c>
      <c r="K179" s="48">
        <f t="shared" si="69"/>
        <v>8.9723267659384032</v>
      </c>
      <c r="L179" s="48">
        <f t="shared" si="69"/>
        <v>7.3426303181870738</v>
      </c>
      <c r="M179" s="48">
        <f t="shared" si="69"/>
        <v>7.1945680501545359</v>
      </c>
      <c r="N179" s="48">
        <f t="shared" si="69"/>
        <v>10.427219052654582</v>
      </c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</row>
    <row r="180" spans="2:33" hidden="1" x14ac:dyDescent="0.2">
      <c r="B180" s="4">
        <v>6</v>
      </c>
      <c r="C180" s="48">
        <f t="shared" si="69"/>
        <v>25.100506081145269</v>
      </c>
      <c r="D180" s="48">
        <f t="shared" si="69"/>
        <v>26.022475084096762</v>
      </c>
      <c r="E180" s="48"/>
      <c r="F180" s="48">
        <f t="shared" si="69"/>
        <v>20.393110099597585</v>
      </c>
      <c r="G180" s="48">
        <f t="shared" si="69"/>
        <v>19.693254236331139</v>
      </c>
      <c r="H180" s="48">
        <f t="shared" si="69"/>
        <v>12.828501677720924</v>
      </c>
      <c r="I180" s="48">
        <f t="shared" si="69"/>
        <v>14.313581481080547</v>
      </c>
      <c r="J180" s="48">
        <f t="shared" si="69"/>
        <v>8.9459884256753419</v>
      </c>
      <c r="K180" s="48">
        <f t="shared" si="69"/>
        <v>9.7307102753074481</v>
      </c>
      <c r="L180" s="48">
        <f t="shared" si="69"/>
        <v>8.0241157553562878</v>
      </c>
      <c r="M180" s="48">
        <f t="shared" si="69"/>
        <v>7.7387220631089111</v>
      </c>
      <c r="N180" s="48">
        <f t="shared" si="69"/>
        <v>11.285648130697822</v>
      </c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</row>
    <row r="181" spans="2:33" hidden="1" x14ac:dyDescent="0.2">
      <c r="B181" s="4">
        <v>7</v>
      </c>
      <c r="C181" s="48">
        <f t="shared" si="69"/>
        <v>27.38736565316804</v>
      </c>
      <c r="D181" s="48">
        <f t="shared" si="69"/>
        <v>27.805978573370972</v>
      </c>
      <c r="E181" s="48"/>
      <c r="F181" s="48">
        <f t="shared" si="69"/>
        <v>21.889407299685963</v>
      </c>
      <c r="G181" s="48">
        <f t="shared" si="69"/>
        <v>20.732027532187256</v>
      </c>
      <c r="H181" s="48">
        <f t="shared" si="69"/>
        <v>13.947461639123071</v>
      </c>
      <c r="I181" s="48">
        <f t="shared" si="69"/>
        <v>15.247565178352311</v>
      </c>
      <c r="J181" s="48">
        <f t="shared" si="69"/>
        <v>9.6539780757156848</v>
      </c>
      <c r="K181" s="48">
        <f t="shared" si="69"/>
        <v>10.37904124781724</v>
      </c>
      <c r="L181" s="48">
        <f t="shared" si="69"/>
        <v>8.6491609889185366</v>
      </c>
      <c r="M181" s="48">
        <f t="shared" si="69"/>
        <v>8.2378648135441672</v>
      </c>
      <c r="N181" s="48">
        <f t="shared" si="69"/>
        <v>12.118356487301565</v>
      </c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</row>
    <row r="182" spans="2:33" hidden="1" x14ac:dyDescent="0.2">
      <c r="B182" s="4">
        <v>8</v>
      </c>
      <c r="C182" s="48">
        <f t="shared" si="69"/>
        <v>29.50304788308345</v>
      </c>
      <c r="D182" s="48">
        <f t="shared" si="69"/>
        <v>29.268166724782787</v>
      </c>
      <c r="E182" s="48"/>
      <c r="F182" s="48">
        <f t="shared" si="69"/>
        <v>23.240350988972342</v>
      </c>
      <c r="G182" s="48"/>
      <c r="H182" s="48">
        <f t="shared" si="69"/>
        <v>14.997360282123003</v>
      </c>
      <c r="I182" s="48"/>
      <c r="J182" s="48">
        <f t="shared" si="69"/>
        <v>10.286948954890827</v>
      </c>
      <c r="K182" s="48">
        <f t="shared" si="69"/>
        <v>10.92035794368782</v>
      </c>
      <c r="L182" s="48">
        <f t="shared" si="69"/>
        <v>9.2177660188738191</v>
      </c>
      <c r="M182" s="48">
        <f t="shared" si="69"/>
        <v>8.7161094778098303</v>
      </c>
      <c r="N182" s="48">
        <f t="shared" si="69"/>
        <v>12.963925204625054</v>
      </c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</row>
    <row r="183" spans="2:33" hidden="1" x14ac:dyDescent="0.2">
      <c r="B183" s="4">
        <v>9</v>
      </c>
      <c r="C183" s="48">
        <f t="shared" si="69"/>
        <v>31.462413826315601</v>
      </c>
      <c r="D183" s="48"/>
      <c r="E183" s="48"/>
      <c r="F183" s="48">
        <f t="shared" si="69"/>
        <v>24.44606650822487</v>
      </c>
      <c r="G183" s="48"/>
      <c r="H183" s="48">
        <f t="shared" si="69"/>
        <v>15.978234089192133</v>
      </c>
      <c r="I183" s="48"/>
      <c r="J183" s="48">
        <f t="shared" si="69"/>
        <v>10.844901063200767</v>
      </c>
      <c r="K183" s="48"/>
      <c r="L183" s="48">
        <f t="shared" si="69"/>
        <v>9.7299308452221389</v>
      </c>
      <c r="M183" s="48"/>
      <c r="N183" s="48">
        <f t="shared" si="69"/>
        <v>13.860935364827546</v>
      </c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</row>
    <row r="184" spans="2:33" hidden="1" x14ac:dyDescent="0.2">
      <c r="B184" s="4">
        <v>10</v>
      </c>
      <c r="C184" s="48">
        <f t="shared" si="69"/>
        <v>33.28032453828861</v>
      </c>
      <c r="D184" s="48"/>
      <c r="E184" s="48"/>
      <c r="F184" s="48">
        <f t="shared" si="69"/>
        <v>25.50667919821171</v>
      </c>
      <c r="G184" s="48"/>
      <c r="H184" s="48">
        <f t="shared" si="69"/>
        <v>16.890119542801887</v>
      </c>
      <c r="I184" s="48"/>
      <c r="J184" s="48">
        <f t="shared" si="69"/>
        <v>11.327834400645504</v>
      </c>
      <c r="K184" s="48"/>
      <c r="L184" s="48">
        <f t="shared" si="69"/>
        <v>10.185655467963489</v>
      </c>
      <c r="M184" s="48"/>
      <c r="N184" s="48">
        <f t="shared" si="69"/>
        <v>14.847968050068273</v>
      </c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</row>
    <row r="185" spans="2:33" hidden="1" x14ac:dyDescent="0.2">
      <c r="B185" s="4">
        <v>11</v>
      </c>
      <c r="C185" s="48">
        <f t="shared" si="69"/>
        <v>34.971641074426593</v>
      </c>
      <c r="D185" s="48"/>
      <c r="E185" s="48"/>
      <c r="F185" s="48">
        <f t="shared" si="69"/>
        <v>26.422314399701005</v>
      </c>
      <c r="G185" s="48"/>
      <c r="H185" s="48">
        <f t="shared" si="69"/>
        <v>17.73305312542368</v>
      </c>
      <c r="I185" s="48"/>
      <c r="J185" s="48">
        <f t="shared" si="69"/>
        <v>11.735748967225041</v>
      </c>
      <c r="K185" s="48"/>
      <c r="L185" s="48">
        <f t="shared" si="69"/>
        <v>10.584939887097873</v>
      </c>
      <c r="M185" s="48"/>
      <c r="N185" s="48">
        <f t="shared" si="69"/>
        <v>15.963604342506493</v>
      </c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</row>
    <row r="186" spans="2:33" hidden="1" x14ac:dyDescent="0.2">
      <c r="B186" s="4">
        <v>12</v>
      </c>
      <c r="C186" s="48">
        <f t="shared" si="69"/>
        <v>36.551224490153672</v>
      </c>
      <c r="D186" s="48"/>
      <c r="E186" s="48"/>
      <c r="F186" s="48">
        <f t="shared" si="69"/>
        <v>27.193097453460911</v>
      </c>
      <c r="G186" s="48"/>
      <c r="H186" s="48">
        <f t="shared" si="69"/>
        <v>18.507071319528951</v>
      </c>
      <c r="I186" s="48"/>
      <c r="J186" s="48">
        <f t="shared" si="69"/>
        <v>12.068644762939373</v>
      </c>
      <c r="K186" s="48"/>
      <c r="L186" s="48">
        <f t="shared" si="69"/>
        <v>10.927784102625296</v>
      </c>
      <c r="M186" s="48"/>
      <c r="N186" s="48">
        <f t="shared" si="69"/>
        <v>17.246425324301445</v>
      </c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</row>
    <row r="187" spans="2:33" hidden="1" x14ac:dyDescent="0.2"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</row>
    <row r="188" spans="2:33" hidden="1" x14ac:dyDescent="0.2"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</row>
    <row r="189" spans="2:33" hidden="1" x14ac:dyDescent="0.2">
      <c r="B189" s="4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</row>
    <row r="190" spans="2:33" hidden="1" x14ac:dyDescent="0.2">
      <c r="B190" s="4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</row>
    <row r="191" spans="2:33" hidden="1" x14ac:dyDescent="0.2">
      <c r="B191" s="4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</row>
    <row r="192" spans="2:33" hidden="1" x14ac:dyDescent="0.2">
      <c r="B192" s="157" t="s">
        <v>134</v>
      </c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</row>
    <row r="193" spans="2:33" hidden="1" x14ac:dyDescent="0.2">
      <c r="B193" s="4" t="s">
        <v>101</v>
      </c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</row>
    <row r="194" spans="2:33" hidden="1" x14ac:dyDescent="0.2">
      <c r="B194" s="4">
        <v>0</v>
      </c>
      <c r="C194" s="48">
        <f t="shared" ref="C194:N194" si="70">C214*C22-C154</f>
        <v>64.400000000000006</v>
      </c>
      <c r="D194" s="48">
        <f t="shared" si="70"/>
        <v>116.2</v>
      </c>
      <c r="E194" s="48">
        <f t="shared" si="70"/>
        <v>155.4</v>
      </c>
      <c r="F194" s="48">
        <f t="shared" si="70"/>
        <v>202</v>
      </c>
      <c r="G194" s="48">
        <f t="shared" si="70"/>
        <v>313</v>
      </c>
      <c r="H194" s="48">
        <f t="shared" si="70"/>
        <v>520.5</v>
      </c>
      <c r="I194" s="48">
        <f t="shared" si="70"/>
        <v>843.75</v>
      </c>
      <c r="J194" s="48">
        <f t="shared" si="70"/>
        <v>1260</v>
      </c>
      <c r="K194" s="48">
        <f t="shared" si="70"/>
        <v>1750</v>
      </c>
      <c r="L194" s="48">
        <f t="shared" si="70"/>
        <v>2284.1</v>
      </c>
      <c r="M194" s="48">
        <f t="shared" si="70"/>
        <v>3412.5</v>
      </c>
      <c r="N194" s="48">
        <f t="shared" si="70"/>
        <v>3412.5</v>
      </c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</row>
    <row r="195" spans="2:33" hidden="1" x14ac:dyDescent="0.2">
      <c r="B195" s="4">
        <v>1</v>
      </c>
      <c r="C195" s="48">
        <f t="shared" ref="C195:N195" si="71">C215*C22-C155</f>
        <v>63.984977873748306</v>
      </c>
      <c r="D195" s="48">
        <f t="shared" si="71"/>
        <v>115.29471660899199</v>
      </c>
      <c r="E195" s="48">
        <f t="shared" si="71"/>
        <v>153.84916661235985</v>
      </c>
      <c r="F195" s="48">
        <f t="shared" si="71"/>
        <v>200.10925268681592</v>
      </c>
      <c r="G195" s="48">
        <f t="shared" si="71"/>
        <v>309.78163002619294</v>
      </c>
      <c r="H195" s="48">
        <f t="shared" si="71"/>
        <v>516.72749356011616</v>
      </c>
      <c r="I195" s="48">
        <f t="shared" si="71"/>
        <v>836.43431213574161</v>
      </c>
      <c r="J195" s="48">
        <f t="shared" si="71"/>
        <v>1253.3010581953963</v>
      </c>
      <c r="K195" s="48">
        <f t="shared" si="71"/>
        <v>1739.0629879595101</v>
      </c>
      <c r="L195" s="48">
        <f t="shared" si="71"/>
        <v>2270.8228481971623</v>
      </c>
      <c r="M195" s="48">
        <f t="shared" si="71"/>
        <v>3392.1668654579639</v>
      </c>
      <c r="N195" s="48">
        <f t="shared" si="71"/>
        <v>3383.5871055433677</v>
      </c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</row>
    <row r="196" spans="2:33" hidden="1" x14ac:dyDescent="0.2">
      <c r="B196" s="4">
        <v>2</v>
      </c>
      <c r="C196" s="48">
        <f t="shared" ref="C196:N196" si="72">C216*C22-C156</f>
        <v>63.757492359578627</v>
      </c>
      <c r="D196" s="48">
        <f t="shared" si="72"/>
        <v>114.91920452501842</v>
      </c>
      <c r="E196" s="48">
        <f t="shared" si="72"/>
        <v>153.29009706941619</v>
      </c>
      <c r="F196" s="48">
        <f t="shared" si="72"/>
        <v>199.38372036607609</v>
      </c>
      <c r="G196" s="48">
        <f t="shared" si="72"/>
        <v>308.87502161614452</v>
      </c>
      <c r="H196" s="48">
        <f t="shared" si="72"/>
        <v>515.1830446149288</v>
      </c>
      <c r="I196" s="48">
        <f t="shared" si="72"/>
        <v>834.1288426365378</v>
      </c>
      <c r="J196" s="48">
        <f t="shared" si="72"/>
        <v>1250.3450841896486</v>
      </c>
      <c r="K196" s="48">
        <f t="shared" si="72"/>
        <v>1734.9838039638116</v>
      </c>
      <c r="L196" s="48">
        <f t="shared" si="72"/>
        <v>2266.6722017933776</v>
      </c>
      <c r="M196" s="48">
        <f t="shared" si="72"/>
        <v>3385.9827399684227</v>
      </c>
      <c r="N196" s="48">
        <f t="shared" si="72"/>
        <v>3374.1130674914493</v>
      </c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</row>
    <row r="197" spans="2:33" hidden="1" x14ac:dyDescent="0.2">
      <c r="B197" s="4">
        <v>3</v>
      </c>
      <c r="C197" s="48">
        <f t="shared" ref="C197:N197" si="73">C217*C22-C157</f>
        <v>63.61504437312319</v>
      </c>
      <c r="D197" s="48">
        <f t="shared" si="73"/>
        <v>114.65436950917153</v>
      </c>
      <c r="E197" s="48">
        <f t="shared" si="73"/>
        <v>152.92212999832239</v>
      </c>
      <c r="F197" s="48">
        <f t="shared" si="73"/>
        <v>198.96376950657853</v>
      </c>
      <c r="G197" s="48">
        <f t="shared" si="73"/>
        <v>308.24690351370975</v>
      </c>
      <c r="H197" s="48">
        <f t="shared" si="73"/>
        <v>514.21451899347949</v>
      </c>
      <c r="I197" s="48">
        <f t="shared" si="73"/>
        <v>832.16663291109489</v>
      </c>
      <c r="J197" s="48">
        <f t="shared" si="73"/>
        <v>1248.5305676693465</v>
      </c>
      <c r="K197" s="48">
        <f t="shared" si="73"/>
        <v>1732.216877260644</v>
      </c>
      <c r="L197" s="48">
        <f t="shared" si="73"/>
        <v>2263.6824693407402</v>
      </c>
      <c r="M197" s="48">
        <f t="shared" si="73"/>
        <v>3381.6574389607258</v>
      </c>
      <c r="N197" s="48">
        <f t="shared" si="73"/>
        <v>3367.9859093810337</v>
      </c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</row>
    <row r="198" spans="2:33" hidden="1" x14ac:dyDescent="0.2">
      <c r="B198" s="4">
        <v>4</v>
      </c>
      <c r="C198" s="48">
        <f t="shared" ref="C198:N198" si="74">C218*C22-C158</f>
        <v>63.482124708302273</v>
      </c>
      <c r="D198" s="48">
        <f t="shared" si="74"/>
        <v>114.42025467999395</v>
      </c>
      <c r="E198" s="48">
        <f t="shared" si="74"/>
        <v>137.82843151038514</v>
      </c>
      <c r="F198" s="48">
        <f t="shared" si="74"/>
        <v>198.57328133160368</v>
      </c>
      <c r="G198" s="48">
        <f t="shared" si="74"/>
        <v>307.70022766439547</v>
      </c>
      <c r="H198" s="48">
        <f t="shared" si="74"/>
        <v>513.29402320234192</v>
      </c>
      <c r="I198" s="48">
        <f t="shared" si="74"/>
        <v>830.432292702155</v>
      </c>
      <c r="J198" s="48">
        <f t="shared" si="74"/>
        <v>1246.8510849366016</v>
      </c>
      <c r="K198" s="48">
        <f t="shared" si="74"/>
        <v>1729.7478688512749</v>
      </c>
      <c r="L198" s="48">
        <f t="shared" si="74"/>
        <v>2260.8910677635781</v>
      </c>
      <c r="M198" s="48">
        <f t="shared" si="74"/>
        <v>3377.9482296087594</v>
      </c>
      <c r="N198" s="48">
        <f t="shared" si="74"/>
        <v>3362.6014371021838</v>
      </c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</row>
    <row r="199" spans="2:33" hidden="1" x14ac:dyDescent="0.2">
      <c r="B199" s="4">
        <v>5</v>
      </c>
      <c r="C199" s="48">
        <f t="shared" ref="C199:N199" si="75">C219*C22-C159</f>
        <v>63.359130026866822</v>
      </c>
      <c r="D199" s="48">
        <f t="shared" si="75"/>
        <v>114.21584728407899</v>
      </c>
      <c r="E199" s="48">
        <f t="shared" si="75"/>
        <v>108.0014059550543</v>
      </c>
      <c r="F199" s="48">
        <f t="shared" si="75"/>
        <v>198.2122305223163</v>
      </c>
      <c r="G199" s="48">
        <f t="shared" si="75"/>
        <v>307.23119624292667</v>
      </c>
      <c r="H199" s="48">
        <f t="shared" si="75"/>
        <v>512.42153192268108</v>
      </c>
      <c r="I199" s="48">
        <f t="shared" si="75"/>
        <v>828.92582200971822</v>
      </c>
      <c r="J199" s="48">
        <f t="shared" si="75"/>
        <v>1245.3066359914144</v>
      </c>
      <c r="K199" s="48">
        <f t="shared" si="75"/>
        <v>1727.569183085154</v>
      </c>
      <c r="L199" s="48">
        <f t="shared" si="75"/>
        <v>2258.2979970618903</v>
      </c>
      <c r="M199" s="48">
        <f t="shared" si="75"/>
        <v>3374.7285177366889</v>
      </c>
      <c r="N199" s="48">
        <f t="shared" si="75"/>
        <v>3357.7570999735635</v>
      </c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</row>
    <row r="200" spans="2:33" hidden="1" x14ac:dyDescent="0.2">
      <c r="B200" s="4">
        <v>6</v>
      </c>
      <c r="C200" s="48">
        <f>C220*C22-C160</f>
        <v>63.245376720267323</v>
      </c>
      <c r="D200" s="48">
        <f>D220*D22-D160</f>
        <v>107.40013456801996</v>
      </c>
      <c r="E200" s="48"/>
      <c r="F200" s="48">
        <f t="shared" ref="F200:N200" si="76">F220*F22-F160</f>
        <v>197.8805917598813</v>
      </c>
      <c r="G200" s="48">
        <f t="shared" si="76"/>
        <v>267.71101142402836</v>
      </c>
      <c r="H200" s="48">
        <f t="shared" si="76"/>
        <v>511.59701983566168</v>
      </c>
      <c r="I200" s="48">
        <f t="shared" si="76"/>
        <v>715.14722083378433</v>
      </c>
      <c r="J200" s="48">
        <f t="shared" si="76"/>
        <v>1243.8972208337843</v>
      </c>
      <c r="K200" s="48">
        <f t="shared" si="76"/>
        <v>1500.6732243117315</v>
      </c>
      <c r="L200" s="48">
        <f t="shared" si="76"/>
        <v>2255.9032572356778</v>
      </c>
      <c r="M200" s="48">
        <f t="shared" si="76"/>
        <v>3130.3717091686781</v>
      </c>
      <c r="N200" s="48">
        <f t="shared" si="76"/>
        <v>3151.3272703907596</v>
      </c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</row>
    <row r="201" spans="2:33" hidden="1" x14ac:dyDescent="0.2">
      <c r="B201" s="4">
        <v>7</v>
      </c>
      <c r="C201" s="48">
        <f>C221*C22-C161</f>
        <v>63.140181179954276</v>
      </c>
      <c r="D201" s="48">
        <f>D221*D22-D161</f>
        <v>93.972103778410215</v>
      </c>
      <c r="E201" s="48"/>
      <c r="F201" s="48">
        <f t="shared" ref="F201:N201" si="77">F221*F22-F161</f>
        <v>197.57833972546342</v>
      </c>
      <c r="G201" s="48">
        <f t="shared" si="77"/>
        <v>228.26087538242538</v>
      </c>
      <c r="H201" s="48">
        <f t="shared" si="77"/>
        <v>510.82046162244859</v>
      </c>
      <c r="I201" s="48">
        <f t="shared" si="77"/>
        <v>601.59648917435368</v>
      </c>
      <c r="J201" s="48">
        <f t="shared" si="77"/>
        <v>1242.6228394637117</v>
      </c>
      <c r="K201" s="48">
        <f t="shared" si="77"/>
        <v>1274.0523968804569</v>
      </c>
      <c r="L201" s="48">
        <f t="shared" si="77"/>
        <v>2253.70684828494</v>
      </c>
      <c r="M201" s="48">
        <f t="shared" si="77"/>
        <v>2644.7512097288932</v>
      </c>
      <c r="N201" s="48">
        <f t="shared" si="77"/>
        <v>2743.1093976724364</v>
      </c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</row>
    <row r="202" spans="2:33" hidden="1" x14ac:dyDescent="0.2">
      <c r="B202" s="4">
        <v>8</v>
      </c>
      <c r="C202" s="48">
        <f>C222*C22-C162</f>
        <v>63.042859797378171</v>
      </c>
      <c r="D202" s="48">
        <f>D222*D22-D162</f>
        <v>80.570742161843029</v>
      </c>
      <c r="E202" s="48"/>
      <c r="F202" s="48">
        <f>F222*F22-F162</f>
        <v>197.30544910022758</v>
      </c>
      <c r="G202" s="48"/>
      <c r="H202" s="48">
        <f>H222*H22-H162</f>
        <v>510.09183196420662</v>
      </c>
      <c r="I202" s="48"/>
      <c r="J202" s="48">
        <f>J222*J22-J162</f>
        <v>1241.4834918811964</v>
      </c>
      <c r="K202" s="48"/>
      <c r="L202" s="48">
        <f>L222*L22-L162</f>
        <v>2251.7087702096774</v>
      </c>
      <c r="M202" s="48">
        <f>M222*M22-M162</f>
        <v>2159.2404252414985</v>
      </c>
      <c r="N202" s="48">
        <f>N222*N22-N162</f>
        <v>2334.8240080603337</v>
      </c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</row>
    <row r="203" spans="2:33" hidden="1" x14ac:dyDescent="0.2">
      <c r="B203" s="4">
        <v>9</v>
      </c>
      <c r="C203" s="48">
        <f>C223*C22-C163</f>
        <v>60.324157535418053</v>
      </c>
      <c r="D203" s="48"/>
      <c r="E203" s="48"/>
      <c r="F203" s="48">
        <f>F223*F22-F163</f>
        <v>189.84760885105288</v>
      </c>
      <c r="G203" s="48"/>
      <c r="H203" s="48">
        <f>H223*H22-H163</f>
        <v>489.58253411352916</v>
      </c>
      <c r="I203" s="48"/>
      <c r="J203" s="48">
        <f>J223*J22-J163</f>
        <v>1194.1934638005243</v>
      </c>
      <c r="K203" s="48"/>
      <c r="L203" s="48">
        <f>L223*L22-L163</f>
        <v>2134.4490230098891</v>
      </c>
      <c r="M203" s="48"/>
      <c r="N203" s="48">
        <f>N223*N22-N163</f>
        <v>1926.268550873117</v>
      </c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</row>
    <row r="204" spans="2:33" hidden="1" x14ac:dyDescent="0.2">
      <c r="B204" s="4">
        <v>10</v>
      </c>
      <c r="C204" s="48">
        <f>C224*C22-C164</f>
        <v>54.983390785524442</v>
      </c>
      <c r="D204" s="48"/>
      <c r="E204" s="48"/>
      <c r="F204" s="48">
        <f>F224*F22-F164</f>
        <v>175.2047936591041</v>
      </c>
      <c r="G204" s="48"/>
      <c r="H204" s="48">
        <f>H224*H22-H164</f>
        <v>449.29254275158121</v>
      </c>
      <c r="I204" s="48"/>
      <c r="J204" s="48">
        <f>J224*J22-J164</f>
        <v>1100.7527552216955</v>
      </c>
      <c r="K204" s="48"/>
      <c r="L204" s="48">
        <f>L224*L22-L164</f>
        <v>1901.9276066855764</v>
      </c>
      <c r="M204" s="48"/>
      <c r="N204" s="48">
        <f>N224*N22-N164</f>
        <v>1517.2404754294494</v>
      </c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</row>
    <row r="205" spans="2:33" hidden="1" x14ac:dyDescent="0.2">
      <c r="B205" s="4">
        <v>11</v>
      </c>
      <c r="C205" s="48">
        <f>C225*C22-C165</f>
        <v>49.648447367719228</v>
      </c>
      <c r="D205" s="48"/>
      <c r="E205" s="48"/>
      <c r="F205" s="48">
        <f>F225*F22-F165</f>
        <v>160.59126391983185</v>
      </c>
      <c r="G205" s="48"/>
      <c r="H205" s="48">
        <f>H225*H22-H165</f>
        <v>409.05040398809882</v>
      </c>
      <c r="I205" s="48"/>
      <c r="J205" s="48">
        <f>J225*J22-J165</f>
        <v>1007.4470804304236</v>
      </c>
      <c r="K205" s="48"/>
      <c r="L205" s="48">
        <f>L225*L22-L165</f>
        <v>1669.604521236738</v>
      </c>
      <c r="M205" s="48"/>
      <c r="N205" s="48">
        <f>N225*N22-N165</f>
        <v>1107.5372310479947</v>
      </c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</row>
    <row r="206" spans="2:33" hidden="1" x14ac:dyDescent="0.2">
      <c r="B206" s="4">
        <v>12</v>
      </c>
      <c r="C206" s="48">
        <f>C226*C22-C166</f>
        <v>44.318643673452932</v>
      </c>
      <c r="D206" s="48"/>
      <c r="E206" s="48"/>
      <c r="F206" s="48">
        <f>F226*F22-F166</f>
        <v>146.00699431440088</v>
      </c>
      <c r="G206" s="48"/>
      <c r="H206" s="48">
        <f>H226*H22-H166</f>
        <v>368.85609250424687</v>
      </c>
      <c r="I206" s="48"/>
      <c r="J206" s="48">
        <f>J226*J22-J166</f>
        <v>914.27643942670909</v>
      </c>
      <c r="K206" s="48"/>
      <c r="L206" s="48">
        <f>L226*L22-L166</f>
        <v>1437.4797666633747</v>
      </c>
      <c r="M206" s="48"/>
      <c r="N206" s="48">
        <f>N226*N22-N166</f>
        <v>696.95626704741744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</row>
    <row r="207" spans="2:33" hidden="1" x14ac:dyDescent="0.2"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</row>
    <row r="208" spans="2:33" hidden="1" x14ac:dyDescent="0.2"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</row>
    <row r="209" spans="2:33" hidden="1" x14ac:dyDescent="0.2">
      <c r="B209" s="4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</row>
    <row r="210" spans="2:33" hidden="1" x14ac:dyDescent="0.2">
      <c r="B210" s="4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</row>
    <row r="211" spans="2:33" hidden="1" x14ac:dyDescent="0.2">
      <c r="B211" s="4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</row>
    <row r="212" spans="2:33" hidden="1" x14ac:dyDescent="0.2">
      <c r="B212" s="4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</row>
    <row r="213" spans="2:33" hidden="1" x14ac:dyDescent="0.2">
      <c r="B213" s="4" t="s">
        <v>132</v>
      </c>
      <c r="R213" s="160"/>
      <c r="S213" s="160"/>
      <c r="T213" s="160"/>
      <c r="U213" s="16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</row>
    <row r="214" spans="2:33" hidden="1" x14ac:dyDescent="0.2">
      <c r="B214" s="4">
        <v>0</v>
      </c>
      <c r="C214" s="155">
        <f t="shared" ref="C214:N214" si="78">IF($B$214&lt;C105,C106,((C106-((C106-C104)*($B$214-C105)/(C107-C105)))))</f>
        <v>1400</v>
      </c>
      <c r="D214" s="155">
        <f t="shared" si="78"/>
        <v>1400</v>
      </c>
      <c r="E214" s="155">
        <f t="shared" si="78"/>
        <v>1400</v>
      </c>
      <c r="F214" s="155">
        <f t="shared" si="78"/>
        <v>1000</v>
      </c>
      <c r="G214" s="155">
        <f t="shared" si="78"/>
        <v>1000</v>
      </c>
      <c r="H214" s="155">
        <f t="shared" si="78"/>
        <v>750</v>
      </c>
      <c r="I214" s="155">
        <f t="shared" si="78"/>
        <v>750</v>
      </c>
      <c r="J214" s="155">
        <f t="shared" si="78"/>
        <v>700</v>
      </c>
      <c r="K214" s="155">
        <f t="shared" si="78"/>
        <v>700</v>
      </c>
      <c r="L214" s="155">
        <f t="shared" si="78"/>
        <v>650</v>
      </c>
      <c r="M214" s="155">
        <f t="shared" si="78"/>
        <v>650</v>
      </c>
      <c r="N214" s="155">
        <f t="shared" si="78"/>
        <v>650</v>
      </c>
      <c r="R214" s="160"/>
      <c r="S214" s="160"/>
      <c r="T214" s="160"/>
      <c r="U214" s="16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</row>
    <row r="215" spans="2:33" hidden="1" x14ac:dyDescent="0.2">
      <c r="B215" s="4">
        <v>1</v>
      </c>
      <c r="C215" s="155">
        <f t="shared" ref="C215:N215" si="79">IF($B$215&lt;C105,C106,((C106-((C106-C104)*($B$215-C105)/(C107-C105)))))</f>
        <v>1400</v>
      </c>
      <c r="D215" s="155">
        <f t="shared" si="79"/>
        <v>1400</v>
      </c>
      <c r="E215" s="155">
        <f t="shared" si="79"/>
        <v>1400</v>
      </c>
      <c r="F215" s="155">
        <f t="shared" si="79"/>
        <v>1000</v>
      </c>
      <c r="G215" s="155">
        <f t="shared" si="79"/>
        <v>1000</v>
      </c>
      <c r="H215" s="155">
        <f t="shared" si="79"/>
        <v>750</v>
      </c>
      <c r="I215" s="155">
        <f t="shared" si="79"/>
        <v>750</v>
      </c>
      <c r="J215" s="155">
        <f t="shared" si="79"/>
        <v>700</v>
      </c>
      <c r="K215" s="155">
        <f t="shared" si="79"/>
        <v>700</v>
      </c>
      <c r="L215" s="155">
        <f t="shared" si="79"/>
        <v>650</v>
      </c>
      <c r="M215" s="155">
        <f t="shared" si="79"/>
        <v>650</v>
      </c>
      <c r="N215" s="155">
        <f t="shared" si="79"/>
        <v>650</v>
      </c>
      <c r="R215" s="160"/>
      <c r="S215" s="160"/>
      <c r="T215" s="160"/>
      <c r="U215" s="16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</row>
    <row r="216" spans="2:33" hidden="1" x14ac:dyDescent="0.2">
      <c r="B216" s="4">
        <v>2</v>
      </c>
      <c r="C216" s="155">
        <f t="shared" ref="C216:N216" si="80">IF($B$216&lt;C105,C106,((C106-((C106-C104)*($B$123-C105)/(C107-C105)))))</f>
        <v>1400</v>
      </c>
      <c r="D216" s="155">
        <f t="shared" si="80"/>
        <v>1400</v>
      </c>
      <c r="E216" s="155">
        <f t="shared" si="80"/>
        <v>1400</v>
      </c>
      <c r="F216" s="155">
        <f t="shared" si="80"/>
        <v>1000</v>
      </c>
      <c r="G216" s="155">
        <f t="shared" si="80"/>
        <v>1000</v>
      </c>
      <c r="H216" s="155">
        <f t="shared" si="80"/>
        <v>750</v>
      </c>
      <c r="I216" s="155">
        <f t="shared" si="80"/>
        <v>750</v>
      </c>
      <c r="J216" s="155">
        <f t="shared" si="80"/>
        <v>700</v>
      </c>
      <c r="K216" s="155">
        <f t="shared" si="80"/>
        <v>700</v>
      </c>
      <c r="L216" s="155">
        <f t="shared" si="80"/>
        <v>650</v>
      </c>
      <c r="M216" s="155">
        <f t="shared" si="80"/>
        <v>650</v>
      </c>
      <c r="N216" s="155">
        <f t="shared" si="80"/>
        <v>650</v>
      </c>
      <c r="R216" s="160"/>
      <c r="S216" s="160"/>
      <c r="T216" s="160"/>
      <c r="U216" s="16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</row>
    <row r="217" spans="2:33" hidden="1" x14ac:dyDescent="0.2">
      <c r="B217" s="4">
        <v>3</v>
      </c>
      <c r="C217" s="155">
        <f t="shared" ref="C217:N217" si="81">IF($B$217&lt;C105,C106,((C106-((C106-C104)*($B$217-C105)/(C107-C105)))))</f>
        <v>1400</v>
      </c>
      <c r="D217" s="155">
        <f t="shared" si="81"/>
        <v>1400</v>
      </c>
      <c r="E217" s="155">
        <f t="shared" si="81"/>
        <v>1400</v>
      </c>
      <c r="F217" s="155">
        <f t="shared" si="81"/>
        <v>1000</v>
      </c>
      <c r="G217" s="155">
        <f t="shared" si="81"/>
        <v>1000</v>
      </c>
      <c r="H217" s="155">
        <f t="shared" si="81"/>
        <v>750</v>
      </c>
      <c r="I217" s="155">
        <f t="shared" si="81"/>
        <v>750</v>
      </c>
      <c r="J217" s="155">
        <f t="shared" si="81"/>
        <v>700</v>
      </c>
      <c r="K217" s="155">
        <f t="shared" si="81"/>
        <v>700</v>
      </c>
      <c r="L217" s="155">
        <f t="shared" si="81"/>
        <v>650</v>
      </c>
      <c r="M217" s="155">
        <f t="shared" si="81"/>
        <v>650</v>
      </c>
      <c r="N217" s="155">
        <f t="shared" si="81"/>
        <v>650</v>
      </c>
      <c r="R217" s="160"/>
      <c r="S217" s="160"/>
      <c r="T217" s="160"/>
      <c r="U217" s="16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</row>
    <row r="218" spans="2:33" hidden="1" x14ac:dyDescent="0.2">
      <c r="B218" s="4">
        <v>4</v>
      </c>
      <c r="C218" s="155">
        <f t="shared" ref="C218:N218" si="82">IF($B$218&lt;C105,C106,((C106-((C106-C104)*($B$218-C105)/(C107-C105)))))</f>
        <v>1400</v>
      </c>
      <c r="D218" s="155">
        <f t="shared" si="82"/>
        <v>1400</v>
      </c>
      <c r="E218" s="155">
        <f t="shared" si="82"/>
        <v>1266.6666666666667</v>
      </c>
      <c r="F218" s="155">
        <f t="shared" si="82"/>
        <v>1000</v>
      </c>
      <c r="G218" s="155">
        <f t="shared" si="82"/>
        <v>1000</v>
      </c>
      <c r="H218" s="155">
        <f t="shared" si="82"/>
        <v>750</v>
      </c>
      <c r="I218" s="155">
        <f t="shared" si="82"/>
        <v>750</v>
      </c>
      <c r="J218" s="155">
        <f t="shared" si="82"/>
        <v>700</v>
      </c>
      <c r="K218" s="155">
        <f t="shared" si="82"/>
        <v>700</v>
      </c>
      <c r="L218" s="155">
        <f t="shared" si="82"/>
        <v>650</v>
      </c>
      <c r="M218" s="155">
        <f t="shared" si="82"/>
        <v>650</v>
      </c>
      <c r="N218" s="155">
        <f t="shared" si="82"/>
        <v>650</v>
      </c>
      <c r="R218" s="160"/>
      <c r="S218" s="160"/>
      <c r="T218" s="160"/>
      <c r="U218" s="16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</row>
    <row r="219" spans="2:33" hidden="1" x14ac:dyDescent="0.2">
      <c r="B219" s="4">
        <v>5</v>
      </c>
      <c r="C219" s="155">
        <f t="shared" ref="C219:N219" si="83">IF($B$219&lt;C105,C106,((C106-((C106-C104)*($B$219-C105)/(C107-C105)))))</f>
        <v>1400</v>
      </c>
      <c r="D219" s="155">
        <f t="shared" si="83"/>
        <v>1400</v>
      </c>
      <c r="E219" s="155">
        <f t="shared" si="83"/>
        <v>1000</v>
      </c>
      <c r="F219" s="155">
        <f t="shared" si="83"/>
        <v>1000</v>
      </c>
      <c r="G219" s="155">
        <f t="shared" si="83"/>
        <v>1000</v>
      </c>
      <c r="H219" s="155">
        <f t="shared" si="83"/>
        <v>750</v>
      </c>
      <c r="I219" s="155">
        <f t="shared" si="83"/>
        <v>750</v>
      </c>
      <c r="J219" s="155">
        <f t="shared" si="83"/>
        <v>700</v>
      </c>
      <c r="K219" s="155">
        <f t="shared" si="83"/>
        <v>700</v>
      </c>
      <c r="L219" s="155">
        <f t="shared" si="83"/>
        <v>650</v>
      </c>
      <c r="M219" s="155">
        <f t="shared" si="83"/>
        <v>650</v>
      </c>
      <c r="N219" s="155">
        <f t="shared" si="83"/>
        <v>650</v>
      </c>
      <c r="R219" s="160"/>
      <c r="S219" s="160"/>
      <c r="T219" s="160"/>
      <c r="U219" s="16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</row>
    <row r="220" spans="2:33" hidden="1" x14ac:dyDescent="0.2">
      <c r="B220" s="4">
        <v>6</v>
      </c>
      <c r="C220" s="155">
        <f>IF($B$220&lt;C105,C106,((C106-((C106-C104)*($B$220-C105)/(C107-C105)))))</f>
        <v>1400</v>
      </c>
      <c r="D220" s="155">
        <f>IF($B$220&lt;D105,D106,((D106-((D106-D104)*($B$220-D105)/(D107-D105)))))</f>
        <v>1320</v>
      </c>
      <c r="E220" s="155"/>
      <c r="F220" s="155">
        <f t="shared" ref="F220:N220" si="84">IF($B$220&lt;F105,F106,((F106-((F106-F104)*($B$220-F105)/(F107-F105)))))</f>
        <v>1000</v>
      </c>
      <c r="G220" s="155">
        <f t="shared" si="84"/>
        <v>875</v>
      </c>
      <c r="H220" s="155">
        <f t="shared" si="84"/>
        <v>750</v>
      </c>
      <c r="I220" s="155">
        <f t="shared" si="84"/>
        <v>650</v>
      </c>
      <c r="J220" s="155">
        <f t="shared" si="84"/>
        <v>700</v>
      </c>
      <c r="K220" s="155">
        <f t="shared" si="84"/>
        <v>610</v>
      </c>
      <c r="L220" s="155">
        <f t="shared" si="84"/>
        <v>650</v>
      </c>
      <c r="M220" s="155">
        <f t="shared" si="84"/>
        <v>604</v>
      </c>
      <c r="N220" s="155">
        <f t="shared" si="84"/>
        <v>611.53846153846155</v>
      </c>
      <c r="R220" s="160"/>
      <c r="S220" s="160"/>
      <c r="T220" s="160"/>
      <c r="U220" s="16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</row>
    <row r="221" spans="2:33" hidden="1" x14ac:dyDescent="0.2">
      <c r="B221" s="4">
        <v>7</v>
      </c>
      <c r="C221" s="155">
        <f>IF($B$221&lt;C105,C106,((C106-((C106-C104)*($B$221-C105)/(C107-C105)))))</f>
        <v>1400</v>
      </c>
      <c r="D221" s="155">
        <f>IF($B$221&lt;D105,D106,((D106-((D106-D104)*($B$221-D105)/(D107-D105)))))</f>
        <v>1160</v>
      </c>
      <c r="E221" s="155"/>
      <c r="F221" s="155">
        <f t="shared" ref="F221:N221" si="85">IF($B$221&lt;F105,F106,((F106-((F106-F104)*($B$221-F105)/(F107-F105)))))</f>
        <v>1000</v>
      </c>
      <c r="G221" s="155">
        <f t="shared" si="85"/>
        <v>750</v>
      </c>
      <c r="H221" s="155">
        <f t="shared" si="85"/>
        <v>750</v>
      </c>
      <c r="I221" s="155">
        <f t="shared" si="85"/>
        <v>550</v>
      </c>
      <c r="J221" s="155">
        <f t="shared" si="85"/>
        <v>700</v>
      </c>
      <c r="K221" s="155">
        <f t="shared" si="85"/>
        <v>520</v>
      </c>
      <c r="L221" s="155">
        <f t="shared" si="85"/>
        <v>650</v>
      </c>
      <c r="M221" s="155">
        <f t="shared" si="85"/>
        <v>512</v>
      </c>
      <c r="N221" s="155">
        <f t="shared" si="85"/>
        <v>534.61538461538464</v>
      </c>
      <c r="R221" s="160"/>
      <c r="S221" s="160"/>
      <c r="T221" s="160"/>
      <c r="U221" s="16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</row>
    <row r="222" spans="2:33" hidden="1" x14ac:dyDescent="0.2">
      <c r="B222" s="4">
        <v>8</v>
      </c>
      <c r="C222" s="155">
        <f>IF($B$222&lt;C105,C106,((C106-((C106-C104)*($B$222-C105)/(C107-C105)))))</f>
        <v>1400</v>
      </c>
      <c r="D222" s="155">
        <f>IF($B$222&lt;D105,D106,((D106-((D106-D104)*($B$222-D105)/(D107-D105)))))</f>
        <v>1000</v>
      </c>
      <c r="E222" s="155"/>
      <c r="F222" s="155">
        <f>IF($B$222&lt;F105,F106,((F106-((F106-F104)*($B$222-F105)/(F107-F105)))))</f>
        <v>1000</v>
      </c>
      <c r="G222" s="155"/>
      <c r="H222" s="155">
        <f>IF($B$222&lt;H105,H106,((H106-((H106-H104)*($B$222-H105)/(H107-H105)))))</f>
        <v>750</v>
      </c>
      <c r="I222" s="155"/>
      <c r="J222" s="155">
        <f>IF($B$222&lt;J105,J106,((J106-((J106-J104)*($B$222-J105)/(J107-J105)))))</f>
        <v>700</v>
      </c>
      <c r="K222" s="155"/>
      <c r="L222" s="155">
        <f>IF($B$222&lt;L105,L106,((L106-((L106-L104)*($B$222-L105)/(L107-L105)))))</f>
        <v>650</v>
      </c>
      <c r="M222" s="155">
        <f>IF($B$222&lt;M105,M106,((M106-((M106-M104)*($B$222-M105)/(M107-M105)))))</f>
        <v>420</v>
      </c>
      <c r="N222" s="155">
        <f>IF($B$222&lt;N105,N106,((N106-((N106-N104)*($B$222-N105)/(N107-N105)))))</f>
        <v>457.69230769230768</v>
      </c>
      <c r="R222" s="160"/>
      <c r="S222" s="160"/>
      <c r="T222" s="160"/>
      <c r="U222" s="16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</row>
    <row r="223" spans="2:33" hidden="1" x14ac:dyDescent="0.2">
      <c r="B223" s="4">
        <v>9</v>
      </c>
      <c r="C223" s="155">
        <f>IF($B$223&lt;C105,C106,((C106-((C106-C104)*($B$223-C105)/(C107-C105)))))</f>
        <v>1342.8571428571429</v>
      </c>
      <c r="D223" s="155"/>
      <c r="E223" s="155"/>
      <c r="F223" s="155">
        <f>IF($B$223&lt;F105,F106,((F106-((F106-F104)*($B$223-F105)/(F107-F105)))))</f>
        <v>964.28571428571433</v>
      </c>
      <c r="G223" s="155"/>
      <c r="H223" s="155">
        <f>IF($B$223&lt;H105,H106,((H106-((H106-H104)*($B$223-H105)/(H107-H105)))))</f>
        <v>721.42857142857144</v>
      </c>
      <c r="I223" s="155"/>
      <c r="J223" s="155">
        <f>IF($B$223&lt;J105,J106,((J106-((J106-J104)*($B$223-J105)/(J107-J105)))))</f>
        <v>674.28571428571433</v>
      </c>
      <c r="K223" s="155"/>
      <c r="L223" s="155">
        <f>IF($B$223&lt;L105,L106,((L106-((L106-L104)*($B$223-L105)/(L107-L105)))))</f>
        <v>617.14285714285711</v>
      </c>
      <c r="M223" s="155"/>
      <c r="N223" s="155">
        <f>IF($B$223&lt;N105,N106,((N106-((N106-N104)*($B$223-N105)/(N107-N105)))))</f>
        <v>380.76923076923077</v>
      </c>
      <c r="R223" s="160"/>
      <c r="S223" s="160"/>
      <c r="T223" s="160"/>
      <c r="U223" s="16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</row>
    <row r="224" spans="2:33" hidden="1" x14ac:dyDescent="0.2">
      <c r="B224" s="4">
        <v>10</v>
      </c>
      <c r="C224" s="155">
        <f>IF($B$224&lt;C105,C106,((C106-((C106-C104)*($B$224-C105)/(C107-C105)))))</f>
        <v>1228.5714285714287</v>
      </c>
      <c r="D224" s="155"/>
      <c r="E224" s="155"/>
      <c r="F224" s="155">
        <f>IF($B$224&lt;F105,F106,((F106-((F106-F104)*($B$224-F105)/(F107-F105)))))</f>
        <v>892.85714285714289</v>
      </c>
      <c r="G224" s="155"/>
      <c r="H224" s="155">
        <f>IF($B$224&lt;H105,H106,((H106-((H106-H104)*($B$224-H105)/(H107-H105)))))</f>
        <v>664.28571428571433</v>
      </c>
      <c r="I224" s="155"/>
      <c r="J224" s="155">
        <f>IF($B$224&lt;J105,J106,((J106-((J106-J104)*($B$224-J105)/(J107-J105)))))</f>
        <v>622.85714285714289</v>
      </c>
      <c r="K224" s="155"/>
      <c r="L224" s="155">
        <f>IF($B$224&lt;L105,L106,((L106-((L106-L104)*($B$224-L105)/(L107-L105)))))</f>
        <v>551.42857142857144</v>
      </c>
      <c r="M224" s="155"/>
      <c r="N224" s="155">
        <f>IF($B$224&lt;N105,N106,((N106-((N106-N104)*($B$224-N105)/(N107-N105)))))</f>
        <v>303.84615384615387</v>
      </c>
      <c r="R224" s="160"/>
      <c r="S224" s="160"/>
      <c r="T224" s="160"/>
      <c r="U224" s="16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</row>
    <row r="225" spans="2:33" hidden="1" x14ac:dyDescent="0.2">
      <c r="B225" s="4">
        <v>11</v>
      </c>
      <c r="C225" s="155">
        <f>IF($B$225&lt;C105,C106,((C106-((C106-C104)*($B$225-C105)/(C107-C105)))))</f>
        <v>1114.2857142857142</v>
      </c>
      <c r="D225" s="155"/>
      <c r="E225" s="155"/>
      <c r="F225" s="155">
        <f>IF($B$225&lt;F105,F106,((F106-((F106-F104)*($B$225-F105)/(F107-F105)))))</f>
        <v>821.42857142857144</v>
      </c>
      <c r="G225" s="155"/>
      <c r="H225" s="155">
        <f>IF($B$225&lt;H105,H106,((H106-((H106-H104)*($B$225-H105)/(H107-H105)))))</f>
        <v>607.14285714285711</v>
      </c>
      <c r="I225" s="155"/>
      <c r="J225" s="155">
        <f>IF($B$225&lt;J105,J106,((J106-((J106-J104)*($B$225-J105)/(J107-J105)))))</f>
        <v>571.42857142857144</v>
      </c>
      <c r="K225" s="155"/>
      <c r="L225" s="155">
        <f>IF($B$225&lt;L105,L106,((L106-((L106-L104)*($B$225-L105)/(L107-L105)))))</f>
        <v>485.71428571428572</v>
      </c>
      <c r="M225" s="155"/>
      <c r="N225" s="155">
        <f>IF($B$225&lt;N105,N106,((N106-((N106-N104)*($B$225-N105)/(N107-N105)))))</f>
        <v>226.92307692307691</v>
      </c>
      <c r="R225" s="160"/>
      <c r="S225" s="160"/>
      <c r="T225" s="160"/>
      <c r="U225" s="16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</row>
    <row r="226" spans="2:33" hidden="1" x14ac:dyDescent="0.2">
      <c r="B226" s="4">
        <v>12</v>
      </c>
      <c r="C226" s="155">
        <f>IF($B$226&lt;C105,C106,((C106-((C106-C104)*($B$226-C105)/(C107-C105)))))</f>
        <v>1000</v>
      </c>
      <c r="D226" s="155"/>
      <c r="E226" s="155"/>
      <c r="F226" s="155">
        <f>IF($B$226&lt;F105,F106,((F106-((F106-F104)*($B$226-F105)/(F107-F105)))))</f>
        <v>750</v>
      </c>
      <c r="G226" s="155"/>
      <c r="H226" s="155">
        <f>IF($B$226&lt;H105,H106,((H106-((H106-H104)*($B$226-H105)/(H107-H105)))))</f>
        <v>550</v>
      </c>
      <c r="I226" s="155"/>
      <c r="J226" s="155">
        <f>IF($B$226&lt;J105,J106,((J106-((J106-J104)*($B$226-J105)/(J107-J105)))))</f>
        <v>520</v>
      </c>
      <c r="K226" s="155"/>
      <c r="L226" s="155">
        <f>IF($B$226&lt;L105,L106,((L106-((L106-L104)*($B$226-L105)/(L107-L105)))))</f>
        <v>420</v>
      </c>
      <c r="M226" s="155"/>
      <c r="N226" s="155">
        <f>IF($B$226&lt;N105,N106,((N106-((N106-N104)*($B$226-N105)/(N107-N105)))))</f>
        <v>150</v>
      </c>
      <c r="R226" s="160"/>
      <c r="S226" s="160"/>
      <c r="T226" s="160"/>
      <c r="U226" s="16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</row>
    <row r="227" spans="2:33" hidden="1" x14ac:dyDescent="0.2">
      <c r="R227" s="160"/>
      <c r="S227" s="160"/>
      <c r="T227" s="160"/>
      <c r="U227" s="16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</row>
    <row r="228" spans="2:33" hidden="1" x14ac:dyDescent="0.2">
      <c r="R228" s="160"/>
      <c r="S228" s="160"/>
      <c r="T228" s="160"/>
      <c r="U228" s="16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</row>
    <row r="229" spans="2:33" hidden="1" x14ac:dyDescent="0.2">
      <c r="R229" s="160"/>
      <c r="S229" s="160"/>
      <c r="T229" s="160"/>
      <c r="U229" s="16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</row>
    <row r="230" spans="2:33" hidden="1" x14ac:dyDescent="0.2">
      <c r="R230" s="160"/>
      <c r="S230" s="160"/>
      <c r="T230" s="160"/>
      <c r="U230" s="16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</row>
    <row r="231" spans="2:33" hidden="1" x14ac:dyDescent="0.2">
      <c r="R231" s="160"/>
      <c r="S231" s="160"/>
      <c r="T231" s="160"/>
      <c r="U231" s="16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</row>
    <row r="232" spans="2:33" hidden="1" x14ac:dyDescent="0.2"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</row>
    <row r="233" spans="2:33" hidden="1" x14ac:dyDescent="0.2">
      <c r="B233" s="4" t="s">
        <v>133</v>
      </c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</row>
    <row r="234" spans="2:33" hidden="1" x14ac:dyDescent="0.2">
      <c r="B234" s="4">
        <v>0</v>
      </c>
      <c r="C234" s="154">
        <f t="shared" ref="C234:N234" si="86">(((1.9*$B234)+C$110)*C214*C$22/1000)+C$109*C214*C$22/1000</f>
        <v>0.90700810664691922</v>
      </c>
      <c r="D234" s="154">
        <f t="shared" si="86"/>
        <v>1.289120105471615</v>
      </c>
      <c r="E234" s="154">
        <f t="shared" si="86"/>
        <v>1.5996839964740874</v>
      </c>
      <c r="F234" s="154">
        <f t="shared" si="86"/>
        <v>1.0887781010324682</v>
      </c>
      <c r="G234" s="154">
        <f t="shared" si="86"/>
        <v>1.4210170575404084</v>
      </c>
      <c r="H234" s="154">
        <f t="shared" si="86"/>
        <v>1.6135467379122099</v>
      </c>
      <c r="I234" s="154">
        <f t="shared" si="86"/>
        <v>2.2528072120334817</v>
      </c>
      <c r="J234" s="154">
        <f t="shared" si="86"/>
        <v>6.3554324981381658</v>
      </c>
      <c r="K234" s="154">
        <f t="shared" si="86"/>
        <v>7.6019895807474533</v>
      </c>
      <c r="L234" s="154">
        <f t="shared" si="86"/>
        <v>9.9723691480350105</v>
      </c>
      <c r="M234" s="154">
        <f t="shared" si="86"/>
        <v>12.305457890490555</v>
      </c>
      <c r="N234" s="154">
        <f t="shared" si="86"/>
        <v>12.305457890490555</v>
      </c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</row>
    <row r="235" spans="2:33" hidden="1" x14ac:dyDescent="0.2">
      <c r="B235" s="4">
        <v>1</v>
      </c>
      <c r="C235" s="154">
        <f t="shared" ref="C235:N235" si="87">(((1.9*$B235)+C$110)*C215*C$22/1000)+C$109*C215*C$22/1000</f>
        <v>1.0293681066469191</v>
      </c>
      <c r="D235" s="154">
        <f t="shared" si="87"/>
        <v>1.509900105471615</v>
      </c>
      <c r="E235" s="154">
        <f t="shared" si="87"/>
        <v>1.8949439964740877</v>
      </c>
      <c r="F235" s="154">
        <f t="shared" si="87"/>
        <v>1.4725781010324683</v>
      </c>
      <c r="G235" s="154">
        <f t="shared" si="87"/>
        <v>2.0157170575404084</v>
      </c>
      <c r="H235" s="154">
        <f t="shared" si="87"/>
        <v>2.6024967379122099</v>
      </c>
      <c r="I235" s="154">
        <f t="shared" si="87"/>
        <v>3.8559322120334816</v>
      </c>
      <c r="J235" s="154">
        <f t="shared" si="87"/>
        <v>8.7494324981381659</v>
      </c>
      <c r="K235" s="154">
        <f t="shared" si="87"/>
        <v>10.926989580747453</v>
      </c>
      <c r="L235" s="154">
        <f t="shared" si="87"/>
        <v>14.312159148035011</v>
      </c>
      <c r="M235" s="154">
        <f t="shared" si="87"/>
        <v>18.789207890490555</v>
      </c>
      <c r="N235" s="154">
        <f t="shared" si="87"/>
        <v>18.789207890490555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</row>
    <row r="236" spans="2:33" hidden="1" x14ac:dyDescent="0.2">
      <c r="B236" s="4">
        <v>2</v>
      </c>
      <c r="C236" s="154">
        <f t="shared" ref="C236:N236" si="88">(((1.9*$B236)+C$110)*C216*C$22/1000)+C$109*C216*C$22/1000</f>
        <v>1.1517281066469194</v>
      </c>
      <c r="D236" s="154">
        <f t="shared" si="88"/>
        <v>1.730680105471615</v>
      </c>
      <c r="E236" s="154">
        <f t="shared" si="88"/>
        <v>2.1902039964740876</v>
      </c>
      <c r="F236" s="154">
        <f t="shared" si="88"/>
        <v>1.8563781010324683</v>
      </c>
      <c r="G236" s="154">
        <f t="shared" si="88"/>
        <v>2.6104170575404084</v>
      </c>
      <c r="H236" s="154">
        <f t="shared" si="88"/>
        <v>3.5914467379122099</v>
      </c>
      <c r="I236" s="154">
        <f t="shared" si="88"/>
        <v>5.459057212033481</v>
      </c>
      <c r="J236" s="154">
        <f t="shared" si="88"/>
        <v>11.143432498138166</v>
      </c>
      <c r="K236" s="154">
        <f t="shared" si="88"/>
        <v>14.251989580747452</v>
      </c>
      <c r="L236" s="154">
        <f t="shared" si="88"/>
        <v>18.651949148035008</v>
      </c>
      <c r="M236" s="154">
        <f t="shared" si="88"/>
        <v>25.272957890490549</v>
      </c>
      <c r="N236" s="154">
        <f t="shared" si="88"/>
        <v>25.272957890490549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</row>
    <row r="237" spans="2:33" hidden="1" x14ac:dyDescent="0.2">
      <c r="B237" s="4">
        <v>3</v>
      </c>
      <c r="C237" s="154">
        <f t="shared" ref="C237:N237" si="89">(((1.9*$B237)+C$110)*C217*C$22/1000)+C$109*C217*C$22/1000</f>
        <v>1.2740881066469192</v>
      </c>
      <c r="D237" s="154">
        <f t="shared" si="89"/>
        <v>1.951460105471615</v>
      </c>
      <c r="E237" s="154">
        <f t="shared" si="89"/>
        <v>2.4854639964740874</v>
      </c>
      <c r="F237" s="154">
        <f t="shared" si="89"/>
        <v>2.2401781010324679</v>
      </c>
      <c r="G237" s="154">
        <f t="shared" si="89"/>
        <v>3.2051170575404084</v>
      </c>
      <c r="H237" s="154">
        <f t="shared" si="89"/>
        <v>4.580396737912209</v>
      </c>
      <c r="I237" s="154">
        <f t="shared" si="89"/>
        <v>7.0621822120334814</v>
      </c>
      <c r="J237" s="154">
        <f t="shared" si="89"/>
        <v>13.537432498138164</v>
      </c>
      <c r="K237" s="154">
        <f t="shared" si="89"/>
        <v>17.576989580747455</v>
      </c>
      <c r="L237" s="154">
        <f t="shared" si="89"/>
        <v>22.991739148035013</v>
      </c>
      <c r="M237" s="154">
        <f t="shared" si="89"/>
        <v>31.756707890490553</v>
      </c>
      <c r="N237" s="154">
        <f t="shared" si="89"/>
        <v>31.756707890490553</v>
      </c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</row>
    <row r="238" spans="2:33" hidden="1" x14ac:dyDescent="0.2">
      <c r="B238" s="4">
        <v>4</v>
      </c>
      <c r="C238" s="154">
        <f t="shared" ref="C238:N238" si="90">(((1.9*$B238)+C$110)*C218*C$22/1000)+C$109*C218*C$22/1000</f>
        <v>1.3964481066469192</v>
      </c>
      <c r="D238" s="154">
        <f t="shared" si="90"/>
        <v>2.1722401054716154</v>
      </c>
      <c r="E238" s="154">
        <f t="shared" si="90"/>
        <v>2.5158931396670319</v>
      </c>
      <c r="F238" s="154">
        <f t="shared" si="90"/>
        <v>2.6239781010324674</v>
      </c>
      <c r="G238" s="154">
        <f t="shared" si="90"/>
        <v>3.799817057540408</v>
      </c>
      <c r="H238" s="154">
        <f t="shared" si="90"/>
        <v>5.5693467379122099</v>
      </c>
      <c r="I238" s="154">
        <f t="shared" si="90"/>
        <v>8.6653072120334826</v>
      </c>
      <c r="J238" s="154">
        <f t="shared" si="90"/>
        <v>15.931432498138165</v>
      </c>
      <c r="K238" s="154">
        <f t="shared" si="90"/>
        <v>20.901989580747454</v>
      </c>
      <c r="L238" s="154">
        <f t="shared" si="90"/>
        <v>27.33152914803501</v>
      </c>
      <c r="M238" s="154">
        <f t="shared" si="90"/>
        <v>38.240457890490553</v>
      </c>
      <c r="N238" s="154">
        <f t="shared" si="90"/>
        <v>38.240457890490553</v>
      </c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</row>
    <row r="239" spans="2:33" hidden="1" x14ac:dyDescent="0.2">
      <c r="B239" s="4">
        <v>5</v>
      </c>
      <c r="C239" s="154">
        <f t="shared" ref="C239:N239" si="91">(((1.9*$B239)+C$110)*C219*C$22/1000)+C$109*C219*C$22/1000</f>
        <v>1.5188081066469192</v>
      </c>
      <c r="D239" s="154">
        <f t="shared" si="91"/>
        <v>2.3930201054716154</v>
      </c>
      <c r="E239" s="154">
        <f t="shared" si="91"/>
        <v>2.1971314260529198</v>
      </c>
      <c r="F239" s="154">
        <f t="shared" si="91"/>
        <v>3.0077781010324682</v>
      </c>
      <c r="G239" s="154">
        <f t="shared" si="91"/>
        <v>4.3945170575404084</v>
      </c>
      <c r="H239" s="154">
        <f t="shared" si="91"/>
        <v>6.5582967379122099</v>
      </c>
      <c r="I239" s="154">
        <f t="shared" si="91"/>
        <v>10.268432212033481</v>
      </c>
      <c r="J239" s="154">
        <f t="shared" si="91"/>
        <v>18.325432498138166</v>
      </c>
      <c r="K239" s="154">
        <f t="shared" si="91"/>
        <v>24.226989580747453</v>
      </c>
      <c r="L239" s="154">
        <f t="shared" si="91"/>
        <v>31.67131914803501</v>
      </c>
      <c r="M239" s="154">
        <f t="shared" si="91"/>
        <v>44.724207890490554</v>
      </c>
      <c r="N239" s="154">
        <f t="shared" si="91"/>
        <v>44.724207890490554</v>
      </c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</row>
    <row r="240" spans="2:33" hidden="1" x14ac:dyDescent="0.2">
      <c r="B240" s="4">
        <v>6</v>
      </c>
      <c r="C240" s="154">
        <f t="shared" ref="C240:D242" si="92">(((1.9*$B240)+C$110)*C220*C$22/1000)+C$109*C220*C$22/1000</f>
        <v>1.641168106646919</v>
      </c>
      <c r="D240" s="154">
        <f t="shared" si="92"/>
        <v>2.4644400994446656</v>
      </c>
      <c r="E240" s="154"/>
      <c r="F240" s="154">
        <f t="shared" ref="F240:N240" si="93">(((1.9*$B240)+F$110)*F220*F$22/1000)+F$109*F220*F$22/1000</f>
        <v>3.3915781010324682</v>
      </c>
      <c r="G240" s="154">
        <f t="shared" si="93"/>
        <v>4.3655649253478561</v>
      </c>
      <c r="H240" s="154">
        <f t="shared" si="93"/>
        <v>7.547246737912209</v>
      </c>
      <c r="I240" s="154">
        <f t="shared" si="93"/>
        <v>10.288682917095683</v>
      </c>
      <c r="J240" s="154">
        <f t="shared" si="93"/>
        <v>20.719432498138161</v>
      </c>
      <c r="K240" s="154">
        <f t="shared" si="93"/>
        <v>24.009590920365639</v>
      </c>
      <c r="L240" s="154">
        <f t="shared" si="93"/>
        <v>36.011109148035011</v>
      </c>
      <c r="M240" s="154">
        <f t="shared" si="93"/>
        <v>47.584010101317368</v>
      </c>
      <c r="N240" s="154">
        <f t="shared" si="93"/>
        <v>48.177901210579876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</row>
    <row r="241" spans="2:33" hidden="1" x14ac:dyDescent="0.2">
      <c r="B241" s="4">
        <v>7</v>
      </c>
      <c r="C241" s="154">
        <f t="shared" si="92"/>
        <v>1.7635281066469191</v>
      </c>
      <c r="D241" s="154">
        <f t="shared" si="92"/>
        <v>2.348652087390767</v>
      </c>
      <c r="E241" s="154"/>
      <c r="F241" s="154">
        <f t="shared" ref="F241:N241" si="94">(((1.9*$B241)+F$110)*F221*F$22/1000)+F$109*F221*F$22/1000</f>
        <v>3.7753781010324681</v>
      </c>
      <c r="G241" s="154">
        <f t="shared" si="94"/>
        <v>4.1879377931553057</v>
      </c>
      <c r="H241" s="154">
        <f t="shared" si="94"/>
        <v>8.5361967379122099</v>
      </c>
      <c r="I241" s="154">
        <f t="shared" si="94"/>
        <v>9.8814336221578873</v>
      </c>
      <c r="J241" s="154">
        <f t="shared" si="94"/>
        <v>23.113432498138163</v>
      </c>
      <c r="K241" s="154">
        <f t="shared" si="94"/>
        <v>22.937192259983821</v>
      </c>
      <c r="L241" s="154">
        <f t="shared" si="94"/>
        <v>40.350899148035012</v>
      </c>
      <c r="M241" s="154">
        <f t="shared" si="94"/>
        <v>45.443314522971022</v>
      </c>
      <c r="N241" s="154">
        <f t="shared" si="94"/>
        <v>47.450576312296967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</row>
    <row r="242" spans="2:33" hidden="1" x14ac:dyDescent="0.2">
      <c r="B242" s="4">
        <v>8</v>
      </c>
      <c r="C242" s="154">
        <f t="shared" si="92"/>
        <v>1.8858881066469191</v>
      </c>
      <c r="D242" s="154">
        <f t="shared" si="92"/>
        <v>2.1824000753368678</v>
      </c>
      <c r="E242" s="154"/>
      <c r="F242" s="154">
        <f>(((1.9*$B242)+F$110)*F222*F$22/1000)+F$109*F222*F$22/1000</f>
        <v>4.1591781010324684</v>
      </c>
      <c r="G242" s="154"/>
      <c r="H242" s="154">
        <f>(((1.9*$B242)+H$110)*H222*H$22/1000)+H$109*H222*H$22/1000</f>
        <v>9.5251467379122108</v>
      </c>
      <c r="I242" s="154"/>
      <c r="J242" s="154">
        <f>(((1.9*$B242)+J$110)*J222*J$22/1000)+J$109*J222*J$22/1000</f>
        <v>25.507432498138165</v>
      </c>
      <c r="K242" s="154"/>
      <c r="L242" s="154">
        <f>(((1.9*$B242)+L$110)*L222*L$22/1000)+L$109*L222*L$22/1000</f>
        <v>44.690689148035005</v>
      </c>
      <c r="M242" s="154">
        <f>(((1.9*$B242)+M$110)*M222*M$22/1000)+M$109*M222*M$22/1000</f>
        <v>41.467218944624676</v>
      </c>
      <c r="N242" s="154">
        <f>(((1.9*$B242)+N$110)*N222*N$22/1000)+N$109*N222*N$22/1000</f>
        <v>45.188636029398673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</row>
    <row r="243" spans="2:33" hidden="1" x14ac:dyDescent="0.2">
      <c r="B243" s="4">
        <v>9</v>
      </c>
      <c r="C243" s="154">
        <f>(((1.9*$B243)+C$110)*C223*C$22/1000)+C$109*C223*C$22/1000</f>
        <v>1.9262787961715346</v>
      </c>
      <c r="D243" s="154"/>
      <c r="E243" s="154"/>
      <c r="F243" s="154">
        <f>(((1.9*$B243)+F$110)*F223*F$22/1000)+F$109*F223*F$22/1000</f>
        <v>4.3807288831384508</v>
      </c>
      <c r="G243" s="154"/>
      <c r="H243" s="154">
        <f>(((1.9*$B243)+H$110)*H223*H$22/1000)+H$109*H223*H$22/1000</f>
        <v>10.113559719325076</v>
      </c>
      <c r="I243" s="154"/>
      <c r="J243" s="154">
        <f>(((1.9*$B243)+J$110)*J223*J$22/1000)+J$109*J223*J$22/1000</f>
        <v>26.876481916573908</v>
      </c>
      <c r="K243" s="154"/>
      <c r="L243" s="154">
        <f>(((1.9*$B243)+L$110)*L223*L$22/1000)+L$109*L223*L$22/1000</f>
        <v>46.552015366925545</v>
      </c>
      <c r="M243" s="154"/>
      <c r="N243" s="154">
        <f>(((1.9*$B243)+N$110)*N223*N$22/1000)+N$109*N223*N$22/1000</f>
        <v>41.392080361885007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</row>
    <row r="244" spans="2:33" hidden="1" x14ac:dyDescent="0.2">
      <c r="B244" s="4">
        <v>10</v>
      </c>
      <c r="C244" s="154">
        <f>(((1.9*$B244)+C$110)*C224*C$22/1000)+C$109*C224*C$22/1000</f>
        <v>1.869717318077909</v>
      </c>
      <c r="D244" s="154"/>
      <c r="E244" s="154"/>
      <c r="F244" s="154">
        <f>(((1.9*$B244)+F$110)*F224*F$22/1000)+F$109*F224*F$22/1000</f>
        <v>4.3989090187789888</v>
      </c>
      <c r="G244" s="154"/>
      <c r="H244" s="154">
        <f>(((1.9*$B244)+H$110)*H224*H$22/1000)+H$109*H224*H$22/1000</f>
        <v>10.188412825007957</v>
      </c>
      <c r="I244" s="154"/>
      <c r="J244" s="154">
        <f>(((1.9*$B244)+J$110)*J224*J$22/1000)+J$109*J224*J$22/1000</f>
        <v>26.956752182016821</v>
      </c>
      <c r="K244" s="154"/>
      <c r="L244" s="154">
        <f>(((1.9*$B244)+L$110)*L224*L$22/1000)+L$109*L224*L$22/1000</f>
        <v>45.276755804706625</v>
      </c>
      <c r="M244" s="154"/>
      <c r="N244" s="154">
        <f>(((1.9*$B244)+N$110)*N224*N$22/1000)+N$109*N224*N$22/1000</f>
        <v>36.060909309755942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</row>
    <row r="245" spans="2:33" hidden="1" x14ac:dyDescent="0.2">
      <c r="B245" s="4">
        <v>11</v>
      </c>
      <c r="C245" s="154">
        <f>(((1.9*$B245)+C$110)*C225*C$22/1000)+C$109*C225*C$22/1000</f>
        <v>1.7931786971271397</v>
      </c>
      <c r="D245" s="154"/>
      <c r="E245" s="154"/>
      <c r="F245" s="154">
        <f>(((1.9*$B245)+F$110)*F225*F$22/1000)+F$109*F225*F$22/1000</f>
        <v>4.362260582990956</v>
      </c>
      <c r="G245" s="154"/>
      <c r="H245" s="154">
        <f>(((1.9*$B245)+H$110)*H225*H$22/1000)+H$109*H225*H$22/1000</f>
        <v>10.112568787833691</v>
      </c>
      <c r="I245" s="154"/>
      <c r="J245" s="154">
        <f>(((1.9*$B245)+J$110)*J225*J$22/1000)+J$109*J225*J$22/1000</f>
        <v>26.685251018888298</v>
      </c>
      <c r="K245" s="154"/>
      <c r="L245" s="154">
        <f>(((1.9*$B245)+L$110)*L225*L$22/1000)+L$109*L225*L$22/1000</f>
        <v>43.124000242487696</v>
      </c>
      <c r="M245" s="154"/>
      <c r="N245" s="154">
        <f>(((1.9*$B245)+N$110)*N225*N$22/1000)+N$109*N225*N$22/1000</f>
        <v>29.195122873011496</v>
      </c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</row>
    <row r="246" spans="2:33" hidden="1" x14ac:dyDescent="0.2">
      <c r="B246" s="4">
        <v>12</v>
      </c>
      <c r="C246" s="154">
        <f>(((1.9*$B246)+C$110)*C226*C$22/1000)+C$109*C226*C$22/1000</f>
        <v>1.6966629333192278</v>
      </c>
      <c r="D246" s="154"/>
      <c r="E246" s="154"/>
      <c r="F246" s="154">
        <f>(((1.9*$B246)+F$110)*F226*F$22/1000)+F$109*F226*F$22/1000</f>
        <v>4.2707835757743506</v>
      </c>
      <c r="G246" s="154"/>
      <c r="H246" s="154">
        <f>(((1.9*$B246)+H$110)*H226*H$22/1000)+H$109*H226*H$22/1000</f>
        <v>9.8860276078022853</v>
      </c>
      <c r="I246" s="154"/>
      <c r="J246" s="154">
        <f>(((1.9*$B246)+J$110)*J226*J$22/1000)+J$109*J226*J$22/1000</f>
        <v>26.06197842718835</v>
      </c>
      <c r="K246" s="154"/>
      <c r="L246" s="154">
        <f>(((1.9*$B246)+L$110)*L226*L$22/1000)+L$109*L226*L$22/1000</f>
        <v>40.093748680268767</v>
      </c>
      <c r="M246" s="154"/>
      <c r="N246" s="154">
        <f>(((1.9*$B246)+N$110)*N226*N$22/1000)+N$109*N226*N$22/1000</f>
        <v>20.794721051651663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</row>
    <row r="247" spans="2:33" hidden="1" x14ac:dyDescent="0.2"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</row>
    <row r="248" spans="2:33" hidden="1" x14ac:dyDescent="0.2"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</row>
    <row r="249" spans="2:33" hidden="1" x14ac:dyDescent="0.2"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</row>
    <row r="250" spans="2:33" hidden="1" x14ac:dyDescent="0.2"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</row>
    <row r="251" spans="2:33" hidden="1" x14ac:dyDescent="0.2"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</row>
    <row r="252" spans="2:33" hidden="1" x14ac:dyDescent="0.2">
      <c r="B252" s="157" t="s">
        <v>148</v>
      </c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</row>
    <row r="253" spans="2:33" hidden="1" x14ac:dyDescent="0.2">
      <c r="B253" s="108" t="s">
        <v>149</v>
      </c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</row>
    <row r="254" spans="2:33" hidden="1" x14ac:dyDescent="0.2">
      <c r="B254" s="4">
        <v>0</v>
      </c>
      <c r="C254" s="153">
        <f t="shared" ref="C254:M259" si="95">(((C$73-C$72)*$B254/C$107)+C$72)</f>
        <v>3</v>
      </c>
      <c r="D254" s="153">
        <f t="shared" si="95"/>
        <v>3</v>
      </c>
      <c r="E254" s="153">
        <f t="shared" si="95"/>
        <v>3</v>
      </c>
      <c r="F254" s="153">
        <f t="shared" si="95"/>
        <v>6</v>
      </c>
      <c r="G254" s="153">
        <f t="shared" si="95"/>
        <v>9</v>
      </c>
      <c r="H254" s="153">
        <f t="shared" si="95"/>
        <v>11</v>
      </c>
      <c r="I254" s="153">
        <f t="shared" si="95"/>
        <v>10</v>
      </c>
      <c r="J254" s="153">
        <f t="shared" si="95"/>
        <v>15</v>
      </c>
      <c r="K254" s="153">
        <f t="shared" si="95"/>
        <v>20</v>
      </c>
      <c r="L254" s="153">
        <f t="shared" si="95"/>
        <v>30</v>
      </c>
      <c r="M254" s="153">
        <f t="shared" si="95"/>
        <v>50</v>
      </c>
      <c r="N254" s="153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</row>
    <row r="255" spans="2:33" hidden="1" x14ac:dyDescent="0.2">
      <c r="B255" s="4">
        <v>1</v>
      </c>
      <c r="C255" s="153">
        <f t="shared" si="95"/>
        <v>3.4166666666666665</v>
      </c>
      <c r="D255" s="153">
        <f t="shared" si="95"/>
        <v>4</v>
      </c>
      <c r="E255" s="153">
        <f t="shared" si="95"/>
        <v>4</v>
      </c>
      <c r="F255" s="153">
        <f t="shared" si="95"/>
        <v>6.5</v>
      </c>
      <c r="G255" s="153">
        <f t="shared" si="95"/>
        <v>10.571428571428571</v>
      </c>
      <c r="H255" s="153">
        <f t="shared" si="95"/>
        <v>13.583333333333334</v>
      </c>
      <c r="I255" s="153">
        <f t="shared" si="95"/>
        <v>12</v>
      </c>
      <c r="J255" s="153">
        <f t="shared" si="95"/>
        <v>19.583333333333332</v>
      </c>
      <c r="K255" s="153">
        <f t="shared" si="95"/>
        <v>30</v>
      </c>
      <c r="L255" s="153">
        <f t="shared" si="95"/>
        <v>35</v>
      </c>
      <c r="M255" s="153">
        <f t="shared" si="95"/>
        <v>66.25</v>
      </c>
      <c r="N255" s="153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</row>
    <row r="256" spans="2:33" hidden="1" x14ac:dyDescent="0.2">
      <c r="B256" s="4">
        <v>2</v>
      </c>
      <c r="C256" s="153">
        <f t="shared" si="95"/>
        <v>3.8333333333333335</v>
      </c>
      <c r="D256" s="153">
        <f t="shared" si="95"/>
        <v>5</v>
      </c>
      <c r="E256" s="153">
        <f t="shared" si="95"/>
        <v>5</v>
      </c>
      <c r="F256" s="153">
        <f t="shared" si="95"/>
        <v>7</v>
      </c>
      <c r="G256" s="153">
        <f t="shared" si="95"/>
        <v>12.142857142857142</v>
      </c>
      <c r="H256" s="153">
        <f t="shared" si="95"/>
        <v>16.166666666666668</v>
      </c>
      <c r="I256" s="153">
        <f t="shared" si="95"/>
        <v>14</v>
      </c>
      <c r="J256" s="153">
        <f t="shared" si="95"/>
        <v>24.166666666666664</v>
      </c>
      <c r="K256" s="153">
        <f t="shared" si="95"/>
        <v>40</v>
      </c>
      <c r="L256" s="153">
        <f t="shared" si="95"/>
        <v>40</v>
      </c>
      <c r="M256" s="153">
        <f t="shared" si="95"/>
        <v>82.5</v>
      </c>
      <c r="N256" s="153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</row>
    <row r="257" spans="2:33" hidden="1" x14ac:dyDescent="0.2">
      <c r="B257" s="4">
        <v>3</v>
      </c>
      <c r="C257" s="153">
        <f t="shared" si="95"/>
        <v>4.25</v>
      </c>
      <c r="D257" s="153">
        <f t="shared" si="95"/>
        <v>6</v>
      </c>
      <c r="E257" s="153">
        <f t="shared" si="95"/>
        <v>6</v>
      </c>
      <c r="F257" s="153">
        <f t="shared" si="95"/>
        <v>7.5</v>
      </c>
      <c r="G257" s="153">
        <f t="shared" si="95"/>
        <v>13.714285714285715</v>
      </c>
      <c r="H257" s="153">
        <f t="shared" si="95"/>
        <v>18.75</v>
      </c>
      <c r="I257" s="153">
        <f t="shared" si="95"/>
        <v>16</v>
      </c>
      <c r="J257" s="153">
        <f t="shared" si="95"/>
        <v>28.75</v>
      </c>
      <c r="K257" s="153">
        <f t="shared" si="95"/>
        <v>50</v>
      </c>
      <c r="L257" s="153">
        <f t="shared" si="95"/>
        <v>45</v>
      </c>
      <c r="M257" s="153">
        <f t="shared" si="95"/>
        <v>98.75</v>
      </c>
      <c r="N257" s="153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</row>
    <row r="258" spans="2:33" hidden="1" x14ac:dyDescent="0.2">
      <c r="B258" s="4">
        <v>4</v>
      </c>
      <c r="C258" s="153">
        <f t="shared" si="95"/>
        <v>4.666666666666667</v>
      </c>
      <c r="D258" s="153">
        <f t="shared" si="95"/>
        <v>7</v>
      </c>
      <c r="E258" s="153">
        <f t="shared" si="95"/>
        <v>7</v>
      </c>
      <c r="F258" s="153">
        <f t="shared" si="95"/>
        <v>8</v>
      </c>
      <c r="G258" s="153">
        <f t="shared" si="95"/>
        <v>15.285714285714285</v>
      </c>
      <c r="H258" s="153">
        <f t="shared" si="95"/>
        <v>21.333333333333336</v>
      </c>
      <c r="I258" s="153">
        <f t="shared" si="95"/>
        <v>18</v>
      </c>
      <c r="J258" s="153">
        <f t="shared" si="95"/>
        <v>33.333333333333329</v>
      </c>
      <c r="K258" s="153">
        <f t="shared" si="95"/>
        <v>60</v>
      </c>
      <c r="L258" s="153">
        <f t="shared" si="95"/>
        <v>50</v>
      </c>
      <c r="M258" s="153">
        <f t="shared" si="95"/>
        <v>115</v>
      </c>
      <c r="N258" s="153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</row>
    <row r="259" spans="2:33" hidden="1" x14ac:dyDescent="0.2">
      <c r="B259" s="4">
        <v>5</v>
      </c>
      <c r="C259" s="153">
        <f t="shared" si="95"/>
        <v>5.0833333333333339</v>
      </c>
      <c r="D259" s="153">
        <f t="shared" si="95"/>
        <v>8</v>
      </c>
      <c r="E259" s="153">
        <f t="shared" si="95"/>
        <v>8</v>
      </c>
      <c r="F259" s="153">
        <f t="shared" si="95"/>
        <v>8.5</v>
      </c>
      <c r="G259" s="153">
        <f t="shared" si="95"/>
        <v>16.857142857142858</v>
      </c>
      <c r="H259" s="153">
        <f t="shared" si="95"/>
        <v>23.916666666666664</v>
      </c>
      <c r="I259" s="153">
        <f t="shared" si="95"/>
        <v>20</v>
      </c>
      <c r="J259" s="153">
        <f t="shared" si="95"/>
        <v>37.916666666666671</v>
      </c>
      <c r="K259" s="153">
        <f t="shared" si="95"/>
        <v>70</v>
      </c>
      <c r="L259" s="153">
        <f t="shared" si="95"/>
        <v>55</v>
      </c>
      <c r="M259" s="153">
        <f t="shared" si="95"/>
        <v>131.25</v>
      </c>
      <c r="N259" s="153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</row>
    <row r="260" spans="2:33" hidden="1" x14ac:dyDescent="0.2">
      <c r="B260" s="4">
        <v>6</v>
      </c>
      <c r="C260" s="153">
        <f t="shared" ref="C260:D262" si="96">(((C$73-C$72)*$B260/C$107)+C$72)</f>
        <v>5.5</v>
      </c>
      <c r="D260" s="153">
        <f t="shared" si="96"/>
        <v>9</v>
      </c>
      <c r="E260" s="153"/>
      <c r="F260" s="153">
        <f t="shared" ref="F260:M261" si="97">(((F$73-F$72)*$B260/F$107)+F$72)</f>
        <v>9</v>
      </c>
      <c r="G260" s="153">
        <f t="shared" si="97"/>
        <v>18.428571428571431</v>
      </c>
      <c r="H260" s="153">
        <f t="shared" si="97"/>
        <v>26.5</v>
      </c>
      <c r="I260" s="153">
        <f t="shared" si="97"/>
        <v>22</v>
      </c>
      <c r="J260" s="153">
        <f t="shared" si="97"/>
        <v>42.5</v>
      </c>
      <c r="K260" s="153">
        <f t="shared" si="97"/>
        <v>80</v>
      </c>
      <c r="L260" s="153">
        <f t="shared" si="97"/>
        <v>60</v>
      </c>
      <c r="M260" s="153">
        <f t="shared" si="97"/>
        <v>147.5</v>
      </c>
      <c r="N260" s="153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</row>
    <row r="261" spans="2:33" hidden="1" x14ac:dyDescent="0.2">
      <c r="B261" s="4">
        <v>7</v>
      </c>
      <c r="C261" s="153">
        <f t="shared" si="96"/>
        <v>5.9166666666666661</v>
      </c>
      <c r="D261" s="153">
        <f t="shared" si="96"/>
        <v>10</v>
      </c>
      <c r="E261" s="153"/>
      <c r="F261" s="153">
        <f t="shared" si="97"/>
        <v>9.5</v>
      </c>
      <c r="G261" s="153">
        <f t="shared" si="97"/>
        <v>20</v>
      </c>
      <c r="H261" s="153">
        <f t="shared" si="97"/>
        <v>29.083333333333332</v>
      </c>
      <c r="I261" s="153">
        <f t="shared" si="97"/>
        <v>24</v>
      </c>
      <c r="J261" s="153">
        <f t="shared" si="97"/>
        <v>47.083333333333336</v>
      </c>
      <c r="K261" s="153">
        <f t="shared" si="97"/>
        <v>90</v>
      </c>
      <c r="L261" s="153">
        <f t="shared" si="97"/>
        <v>65</v>
      </c>
      <c r="M261" s="153">
        <f t="shared" si="97"/>
        <v>163.75</v>
      </c>
      <c r="N261" s="153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</row>
    <row r="262" spans="2:33" hidden="1" x14ac:dyDescent="0.2">
      <c r="B262" s="4">
        <v>8</v>
      </c>
      <c r="C262" s="153">
        <f t="shared" si="96"/>
        <v>6.3333333333333339</v>
      </c>
      <c r="D262" s="153">
        <f t="shared" si="96"/>
        <v>11</v>
      </c>
      <c r="E262" s="153"/>
      <c r="F262" s="153">
        <f>(((F$73-F$72)*$B262/F$107)+F$72)</f>
        <v>10</v>
      </c>
      <c r="G262" s="153"/>
      <c r="H262" s="153">
        <f>(((H$73-H$72)*$B262/H$107)+H$72)</f>
        <v>31.666666666666668</v>
      </c>
      <c r="I262" s="153"/>
      <c r="J262" s="153">
        <f>(((J$73-J$72)*$B262/J$107)+J$72)</f>
        <v>51.666666666666664</v>
      </c>
      <c r="K262" s="153"/>
      <c r="L262" s="153">
        <f>(((L$73-L$72)*$B262/L$107)+L$72)</f>
        <v>70</v>
      </c>
      <c r="M262" s="153">
        <f>(((M$73-M$72)*$B262/M$107)+M$72)</f>
        <v>180</v>
      </c>
      <c r="N262" s="153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</row>
    <row r="263" spans="2:33" hidden="1" x14ac:dyDescent="0.2">
      <c r="B263" s="4">
        <v>9</v>
      </c>
      <c r="C263" s="153">
        <f>(((C$73-C$72)*$B263/C$107)+C$72)</f>
        <v>6.75</v>
      </c>
      <c r="D263" s="153"/>
      <c r="E263" s="153"/>
      <c r="F263" s="153">
        <f>(((F$73-F$72)*$B263/F$107)+F$72)</f>
        <v>10.5</v>
      </c>
      <c r="G263" s="153"/>
      <c r="H263" s="153">
        <f>(((H$73-H$72)*$B263/H$107)+H$72)</f>
        <v>34.25</v>
      </c>
      <c r="I263" s="153"/>
      <c r="J263" s="153">
        <f>(((J$73-J$72)*$B263/J$107)+J$72)</f>
        <v>56.25</v>
      </c>
      <c r="K263" s="153"/>
      <c r="L263" s="153">
        <f>(((L$73-L$72)*$B263/L$107)+L$72)</f>
        <v>75</v>
      </c>
      <c r="M263" s="153"/>
      <c r="N263" s="153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</row>
    <row r="264" spans="2:33" hidden="1" x14ac:dyDescent="0.2">
      <c r="B264" s="4">
        <v>10</v>
      </c>
      <c r="C264" s="153">
        <f>(((C$73-C$72)*$B264/C$107)+C$72)</f>
        <v>7.166666666666667</v>
      </c>
      <c r="D264" s="153"/>
      <c r="E264" s="153"/>
      <c r="F264" s="153">
        <f>(((F$73-F$72)*$B264/F$107)+F$72)</f>
        <v>11</v>
      </c>
      <c r="G264" s="153"/>
      <c r="H264" s="153">
        <f>(((H$73-H$72)*$B264/H$107)+H$72)</f>
        <v>36.833333333333329</v>
      </c>
      <c r="I264" s="153"/>
      <c r="J264" s="153">
        <f>(((J$73-J$72)*$B264/J$107)+J$72)</f>
        <v>60.833333333333336</v>
      </c>
      <c r="K264" s="153"/>
      <c r="L264" s="153">
        <f>(((L$73-L$72)*$B264/L$107)+L$72)</f>
        <v>80</v>
      </c>
      <c r="M264" s="153"/>
      <c r="N264" s="153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</row>
    <row r="265" spans="2:33" hidden="1" x14ac:dyDescent="0.2">
      <c r="B265" s="4">
        <v>11</v>
      </c>
      <c r="C265" s="153">
        <f>(((C$73-C$72)*$B265/C$107)+C$72)</f>
        <v>7.583333333333333</v>
      </c>
      <c r="D265" s="153"/>
      <c r="E265" s="153"/>
      <c r="F265" s="153">
        <f>(((F$73-F$72)*$B265/F$107)+F$72)</f>
        <v>11.5</v>
      </c>
      <c r="G265" s="153"/>
      <c r="H265" s="153">
        <f>(((H$73-H$72)*$B265/H$107)+H$72)</f>
        <v>39.416666666666671</v>
      </c>
      <c r="I265" s="153"/>
      <c r="J265" s="153">
        <f>(((J$73-J$72)*$B265/J$107)+J$72)</f>
        <v>65.416666666666657</v>
      </c>
      <c r="K265" s="153"/>
      <c r="L265" s="153">
        <f>(((L$73-L$72)*$B265/L$107)+L$72)</f>
        <v>85</v>
      </c>
      <c r="M265" s="153"/>
      <c r="N265" s="153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</row>
    <row r="266" spans="2:33" hidden="1" x14ac:dyDescent="0.2">
      <c r="B266" s="4">
        <v>12</v>
      </c>
      <c r="C266" s="153">
        <f>(((C$73-C$72)*$B266/C$107)+C$72)</f>
        <v>8</v>
      </c>
      <c r="D266" s="153"/>
      <c r="E266" s="153"/>
      <c r="F266" s="153">
        <f>(((F$73-F$72)*$B266/F$107)+F$72)</f>
        <v>12</v>
      </c>
      <c r="G266" s="153"/>
      <c r="H266" s="153">
        <f>(((H$73-H$72)*$B266/H$107)+H$72)</f>
        <v>42</v>
      </c>
      <c r="I266" s="153"/>
      <c r="J266" s="153">
        <f>(((J$73-J$72)*$B266/J$107)+J$72)</f>
        <v>70</v>
      </c>
      <c r="K266" s="153"/>
      <c r="L266" s="153">
        <f>(((L$73-L$72)*$B266/L$107)+L$72)</f>
        <v>90</v>
      </c>
      <c r="M266" s="153"/>
      <c r="N266" s="153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</row>
    <row r="267" spans="2:33" hidden="1" x14ac:dyDescent="0.2"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</row>
    <row r="268" spans="2:33" hidden="1" x14ac:dyDescent="0.2"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</row>
    <row r="269" spans="2:33" hidden="1" x14ac:dyDescent="0.2"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</row>
    <row r="270" spans="2:33" hidden="1" x14ac:dyDescent="0.2"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</row>
    <row r="271" spans="2:33" hidden="1" x14ac:dyDescent="0.2"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</row>
    <row r="272" spans="2:33" hidden="1" x14ac:dyDescent="0.2">
      <c r="B272" s="157" t="s">
        <v>148</v>
      </c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</row>
    <row r="273" spans="2:33" hidden="1" x14ac:dyDescent="0.2">
      <c r="B273" s="4" t="s">
        <v>103</v>
      </c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</row>
    <row r="274" spans="2:33" hidden="1" x14ac:dyDescent="0.2">
      <c r="B274" s="4">
        <v>0</v>
      </c>
      <c r="C274" s="153">
        <f>(($C$56*B274^6)+($C$57*B274^5)-($C$58*B274^4)+($C$59*B274^3)-($C$60*B274^2)+($C$61*B274))*$C$62*$C$55</f>
        <v>0</v>
      </c>
      <c r="D274" s="48">
        <f>(-($D$56*B274^6)+($D$57*B274^5)-($D$58*B274^4)+($D$59*B274^3)-($D$60*B274^2)+($D$61*B274))*$D$62*$D$55</f>
        <v>0</v>
      </c>
      <c r="E274" s="48">
        <f>(($E$56*B274^5)-($E$57*B274^4)+($E$58*B274^3)-($E$59*B274^2)+($E$60*B274))*$E$62*$E$55</f>
        <v>0</v>
      </c>
      <c r="F274" s="48">
        <f t="shared" ref="F274:M274" si="98">(-(F$56*$B274^6)+(F$57*$B274^5)-(F$58*$B274^4)+(F$59*$B274^3)-(F$60*$B274^2)+(F$61*$B274))*F$62*F$55</f>
        <v>0</v>
      </c>
      <c r="G274" s="48">
        <f t="shared" si="98"/>
        <v>0</v>
      </c>
      <c r="H274" s="48">
        <f t="shared" si="98"/>
        <v>0</v>
      </c>
      <c r="I274" s="48">
        <f t="shared" si="98"/>
        <v>0</v>
      </c>
      <c r="J274" s="48">
        <f t="shared" si="98"/>
        <v>0</v>
      </c>
      <c r="K274" s="48">
        <f t="shared" si="98"/>
        <v>0</v>
      </c>
      <c r="L274" s="48">
        <f t="shared" si="98"/>
        <v>0</v>
      </c>
      <c r="M274" s="48">
        <f t="shared" si="98"/>
        <v>0</v>
      </c>
      <c r="N274" s="48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</row>
    <row r="275" spans="2:33" hidden="1" x14ac:dyDescent="0.2">
      <c r="B275" s="4">
        <v>1</v>
      </c>
      <c r="C275" s="153">
        <f>C155+C255</f>
        <v>3.8316887929183627</v>
      </c>
      <c r="D275" s="153">
        <f t="shared" ref="D275:M275" si="99">D155+D255</f>
        <v>4.9052833910080107</v>
      </c>
      <c r="E275" s="153">
        <f t="shared" si="99"/>
        <v>5.5508333876401501</v>
      </c>
      <c r="F275" s="153">
        <f t="shared" si="99"/>
        <v>8.3907473131840664</v>
      </c>
      <c r="G275" s="153">
        <f t="shared" si="99"/>
        <v>13.789798545235609</v>
      </c>
      <c r="H275" s="153">
        <f t="shared" si="99"/>
        <v>17.355839773217181</v>
      </c>
      <c r="I275" s="153">
        <f t="shared" si="99"/>
        <v>19.315687864258443</v>
      </c>
      <c r="J275" s="153">
        <f t="shared" si="99"/>
        <v>26.282275137936921</v>
      </c>
      <c r="K275" s="153">
        <f t="shared" si="99"/>
        <v>40.937012040489797</v>
      </c>
      <c r="L275" s="153">
        <f t="shared" si="99"/>
        <v>48.277151802837778</v>
      </c>
      <c r="M275" s="153">
        <f t="shared" si="99"/>
        <v>86.583134542036149</v>
      </c>
      <c r="N275" s="48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</row>
    <row r="276" spans="2:33" hidden="1" x14ac:dyDescent="0.2">
      <c r="B276" s="4">
        <v>2</v>
      </c>
      <c r="C276" s="153">
        <f t="shared" ref="C276:M286" si="100">C156+C256</f>
        <v>4.475840973754714</v>
      </c>
      <c r="D276" s="153">
        <f t="shared" si="100"/>
        <v>6.280795474981594</v>
      </c>
      <c r="E276" s="153">
        <f t="shared" si="100"/>
        <v>7.1099029305838073</v>
      </c>
      <c r="F276" s="153">
        <f t="shared" si="100"/>
        <v>9.61627963392392</v>
      </c>
      <c r="G276" s="153">
        <f t="shared" si="100"/>
        <v>16.267835526712599</v>
      </c>
      <c r="H276" s="153">
        <f t="shared" si="100"/>
        <v>21.483622051737861</v>
      </c>
      <c r="I276" s="153">
        <f t="shared" si="100"/>
        <v>23.62115736346216</v>
      </c>
      <c r="J276" s="153">
        <f t="shared" si="100"/>
        <v>33.821582477018168</v>
      </c>
      <c r="K276" s="153">
        <f t="shared" si="100"/>
        <v>55.016196036188397</v>
      </c>
      <c r="L276" s="153">
        <f t="shared" si="100"/>
        <v>57.427798206622242</v>
      </c>
      <c r="M276" s="153">
        <f t="shared" si="100"/>
        <v>109.01726003157728</v>
      </c>
      <c r="N276" s="48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</row>
    <row r="277" spans="2:33" hidden="1" x14ac:dyDescent="0.2">
      <c r="B277" s="4">
        <v>3</v>
      </c>
      <c r="C277" s="153">
        <f t="shared" si="100"/>
        <v>5.0349556268768163</v>
      </c>
      <c r="D277" s="153">
        <f t="shared" si="100"/>
        <v>7.5456304908284739</v>
      </c>
      <c r="E277" s="153">
        <f t="shared" si="100"/>
        <v>8.4778700016776227</v>
      </c>
      <c r="F277" s="153">
        <f t="shared" si="100"/>
        <v>10.53623049342146</v>
      </c>
      <c r="G277" s="153">
        <f t="shared" si="100"/>
        <v>18.467382200575969</v>
      </c>
      <c r="H277" s="153">
        <f t="shared" si="100"/>
        <v>25.035481006520524</v>
      </c>
      <c r="I277" s="153">
        <f t="shared" si="100"/>
        <v>27.583367088905099</v>
      </c>
      <c r="J277" s="153">
        <f t="shared" si="100"/>
        <v>40.219432330653575</v>
      </c>
      <c r="K277" s="153">
        <f t="shared" si="100"/>
        <v>67.783122739356003</v>
      </c>
      <c r="L277" s="153">
        <f t="shared" si="100"/>
        <v>65.417530659259498</v>
      </c>
      <c r="M277" s="153">
        <f t="shared" si="100"/>
        <v>129.5925610392741</v>
      </c>
      <c r="N277" s="48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</row>
    <row r="278" spans="2:33" hidden="1" x14ac:dyDescent="0.2">
      <c r="B278" s="4">
        <v>4</v>
      </c>
      <c r="C278" s="153">
        <f t="shared" si="100"/>
        <v>5.5845419583644018</v>
      </c>
      <c r="D278" s="153">
        <f t="shared" si="100"/>
        <v>8.7797453200060538</v>
      </c>
      <c r="E278" s="153">
        <f t="shared" si="100"/>
        <v>9.7715684896148893</v>
      </c>
      <c r="F278" s="153">
        <f t="shared" si="100"/>
        <v>11.426718668396326</v>
      </c>
      <c r="G278" s="153">
        <f t="shared" si="100"/>
        <v>20.585486621318804</v>
      </c>
      <c r="H278" s="153">
        <f t="shared" si="100"/>
        <v>28.539310130991378</v>
      </c>
      <c r="I278" s="153">
        <f t="shared" si="100"/>
        <v>31.31770729784499</v>
      </c>
      <c r="J278" s="153">
        <f t="shared" si="100"/>
        <v>46.482248396731613</v>
      </c>
      <c r="K278" s="153">
        <f t="shared" si="100"/>
        <v>80.252131148725169</v>
      </c>
      <c r="L278" s="153">
        <f t="shared" si="100"/>
        <v>73.208932236421873</v>
      </c>
      <c r="M278" s="153">
        <f t="shared" si="100"/>
        <v>149.55177039124041</v>
      </c>
      <c r="N278" s="48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</row>
    <row r="279" spans="2:33" hidden="1" x14ac:dyDescent="0.2">
      <c r="B279" s="4">
        <v>5</v>
      </c>
      <c r="C279" s="153">
        <f t="shared" si="100"/>
        <v>6.1242033064665211</v>
      </c>
      <c r="D279" s="153">
        <f t="shared" si="100"/>
        <v>9.9841527159210113</v>
      </c>
      <c r="E279" s="153">
        <f t="shared" si="100"/>
        <v>10.998594044945706</v>
      </c>
      <c r="F279" s="153">
        <f t="shared" si="100"/>
        <v>12.287769477683689</v>
      </c>
      <c r="G279" s="153">
        <f t="shared" si="100"/>
        <v>22.625946614216158</v>
      </c>
      <c r="H279" s="153">
        <f t="shared" si="100"/>
        <v>31.995134743985584</v>
      </c>
      <c r="I279" s="153">
        <f t="shared" si="100"/>
        <v>34.824177990281825</v>
      </c>
      <c r="J279" s="153">
        <f t="shared" si="100"/>
        <v>52.610030675252304</v>
      </c>
      <c r="K279" s="153">
        <f t="shared" si="100"/>
        <v>92.430816914846005</v>
      </c>
      <c r="L279" s="153">
        <f t="shared" si="100"/>
        <v>80.802002938109382</v>
      </c>
      <c r="M279" s="153">
        <f t="shared" si="100"/>
        <v>169.02148226331133</v>
      </c>
      <c r="N279" s="48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</row>
    <row r="280" spans="2:33" hidden="1" x14ac:dyDescent="0.2">
      <c r="B280" s="4">
        <v>6</v>
      </c>
      <c r="C280" s="153">
        <f t="shared" si="100"/>
        <v>6.6546232797326823</v>
      </c>
      <c r="D280" s="153">
        <f t="shared" si="100"/>
        <v>11.15986543198003</v>
      </c>
      <c r="E280" s="153"/>
      <c r="F280" s="153">
        <f t="shared" si="100"/>
        <v>13.119408240118712</v>
      </c>
      <c r="G280" s="153">
        <f t="shared" si="100"/>
        <v>24.592560004543078</v>
      </c>
      <c r="H280" s="153">
        <f t="shared" si="100"/>
        <v>35.402980164338317</v>
      </c>
      <c r="I280" s="153">
        <f t="shared" si="100"/>
        <v>38.102779166215612</v>
      </c>
      <c r="J280" s="153">
        <f t="shared" si="100"/>
        <v>58.602779166215612</v>
      </c>
      <c r="K280" s="153">
        <f t="shared" si="100"/>
        <v>104.32677568826861</v>
      </c>
      <c r="L280" s="153">
        <f t="shared" si="100"/>
        <v>88.196742764321996</v>
      </c>
      <c r="M280" s="153">
        <f t="shared" si="100"/>
        <v>188.12829083132178</v>
      </c>
      <c r="N280" s="48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</row>
    <row r="281" spans="2:33" hidden="1" x14ac:dyDescent="0.2">
      <c r="B281" s="4">
        <v>7</v>
      </c>
      <c r="C281" s="153">
        <f t="shared" si="100"/>
        <v>7.1764854867123962</v>
      </c>
      <c r="D281" s="153">
        <f t="shared" si="100"/>
        <v>12.307896221589791</v>
      </c>
      <c r="E281" s="153"/>
      <c r="F281" s="153">
        <f t="shared" si="100"/>
        <v>13.921660274536565</v>
      </c>
      <c r="G281" s="153">
        <f t="shared" si="100"/>
        <v>26.48912461757461</v>
      </c>
      <c r="H281" s="153">
        <f t="shared" si="100"/>
        <v>38.762871710884745</v>
      </c>
      <c r="I281" s="153">
        <f t="shared" si="100"/>
        <v>41.15351082564635</v>
      </c>
      <c r="J281" s="153">
        <f t="shared" si="100"/>
        <v>64.460493869621573</v>
      </c>
      <c r="K281" s="153">
        <f t="shared" si="100"/>
        <v>115.9476031195431</v>
      </c>
      <c r="L281" s="153">
        <f t="shared" si="100"/>
        <v>95.39315171505973</v>
      </c>
      <c r="M281" s="153">
        <f t="shared" si="100"/>
        <v>206.99879027110688</v>
      </c>
      <c r="N281" s="48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</row>
    <row r="282" spans="2:33" hidden="1" x14ac:dyDescent="0.2">
      <c r="B282" s="4">
        <v>8</v>
      </c>
      <c r="C282" s="153">
        <f t="shared" si="100"/>
        <v>7.6904735359551726</v>
      </c>
      <c r="D282" s="153">
        <f t="shared" si="100"/>
        <v>13.429257838156971</v>
      </c>
      <c r="E282" s="153"/>
      <c r="F282" s="153">
        <f t="shared" si="100"/>
        <v>14.694550899772413</v>
      </c>
      <c r="G282" s="153"/>
      <c r="H282" s="153">
        <f t="shared" si="100"/>
        <v>42.074834702460031</v>
      </c>
      <c r="I282" s="153"/>
      <c r="J282" s="153">
        <f t="shared" si="100"/>
        <v>70.183174785470158</v>
      </c>
      <c r="K282" s="153">
        <f t="shared" si="100"/>
        <v>27.30089485921955</v>
      </c>
      <c r="L282" s="153">
        <f t="shared" si="100"/>
        <v>102.3912297903226</v>
      </c>
      <c r="M282" s="153">
        <f t="shared" si="100"/>
        <v>225.7595747585016</v>
      </c>
      <c r="N282" s="48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</row>
    <row r="283" spans="2:33" hidden="1" x14ac:dyDescent="0.2">
      <c r="B283" s="4">
        <v>9</v>
      </c>
      <c r="C283" s="153">
        <f t="shared" si="100"/>
        <v>8.1972710360105179</v>
      </c>
      <c r="D283" s="153"/>
      <c r="E283" s="153"/>
      <c r="F283" s="153">
        <f t="shared" si="100"/>
        <v>15.438105434661423</v>
      </c>
      <c r="G283" s="153"/>
      <c r="H283" s="153">
        <f t="shared" si="100"/>
        <v>45.338894457899343</v>
      </c>
      <c r="I283" s="153"/>
      <c r="J283" s="153">
        <f t="shared" si="100"/>
        <v>75.770821913761381</v>
      </c>
      <c r="K283" s="153"/>
      <c r="L283" s="153">
        <f t="shared" si="100"/>
        <v>109.19097699011058</v>
      </c>
      <c r="M283" s="153"/>
      <c r="N283" s="48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</row>
    <row r="284" spans="2:33" hidden="1" x14ac:dyDescent="0.2">
      <c r="B284" s="4">
        <v>10</v>
      </c>
      <c r="C284" s="153">
        <f t="shared" si="100"/>
        <v>8.6975615954279437</v>
      </c>
      <c r="D284" s="153"/>
      <c r="E284" s="153"/>
      <c r="F284" s="153">
        <f t="shared" si="100"/>
        <v>16.152349198038767</v>
      </c>
      <c r="G284" s="153"/>
      <c r="H284" s="153">
        <f t="shared" si="100"/>
        <v>48.555076296037839</v>
      </c>
      <c r="I284" s="153"/>
      <c r="J284" s="153">
        <f t="shared" si="100"/>
        <v>81.223435254495243</v>
      </c>
      <c r="K284" s="153"/>
      <c r="L284" s="153">
        <f t="shared" si="100"/>
        <v>115.79239331442369</v>
      </c>
      <c r="M284" s="153"/>
      <c r="N284" s="48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</row>
    <row r="285" spans="2:33" hidden="1" x14ac:dyDescent="0.2">
      <c r="B285" s="4">
        <v>11</v>
      </c>
      <c r="C285" s="153">
        <f t="shared" si="100"/>
        <v>9.1920288227569564</v>
      </c>
      <c r="D285" s="153"/>
      <c r="E285" s="153"/>
      <c r="F285" s="153">
        <f t="shared" si="100"/>
        <v>16.837307508739602</v>
      </c>
      <c r="G285" s="153"/>
      <c r="H285" s="153">
        <f t="shared" si="100"/>
        <v>51.723405535710704</v>
      </c>
      <c r="I285" s="153"/>
      <c r="J285" s="153">
        <f t="shared" si="100"/>
        <v>86.541014807671729</v>
      </c>
      <c r="K285" s="153"/>
      <c r="L285" s="153">
        <f t="shared" si="100"/>
        <v>122.19547876326192</v>
      </c>
      <c r="M285" s="153"/>
      <c r="N285" s="48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</row>
    <row r="286" spans="2:33" hidden="1" x14ac:dyDescent="0.2">
      <c r="B286" s="4">
        <v>12</v>
      </c>
      <c r="C286" s="153">
        <f t="shared" si="100"/>
        <v>9.6813563265470695</v>
      </c>
      <c r="D286" s="153"/>
      <c r="E286" s="153"/>
      <c r="F286" s="153">
        <f t="shared" si="100"/>
        <v>17.493005685599105</v>
      </c>
      <c r="G286" s="153"/>
      <c r="H286" s="153">
        <f t="shared" si="100"/>
        <v>54.843907495753086</v>
      </c>
      <c r="I286" s="153"/>
      <c r="J286" s="153">
        <f t="shared" si="100"/>
        <v>91.723560573290868</v>
      </c>
      <c r="K286" s="153"/>
      <c r="L286" s="153">
        <f t="shared" si="100"/>
        <v>128.40023333662529</v>
      </c>
      <c r="M286" s="153"/>
      <c r="N286" s="48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</row>
    <row r="287" spans="2:33" hidden="1" x14ac:dyDescent="0.2"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</row>
    <row r="288" spans="2:33" hidden="1" x14ac:dyDescent="0.2"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</row>
    <row r="289" spans="2:33" hidden="1" x14ac:dyDescent="0.2"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</row>
    <row r="290" spans="2:33" hidden="1" x14ac:dyDescent="0.2"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</row>
    <row r="291" spans="2:33" hidden="1" x14ac:dyDescent="0.2"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</row>
    <row r="292" spans="2:33" hidden="1" x14ac:dyDescent="0.2">
      <c r="B292" s="157" t="s">
        <v>148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</row>
    <row r="293" spans="2:33" hidden="1" x14ac:dyDescent="0.2">
      <c r="B293" s="4" t="s">
        <v>104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</row>
    <row r="294" spans="2:33" hidden="1" x14ac:dyDescent="0.2">
      <c r="B294" s="4">
        <v>0</v>
      </c>
      <c r="C294" s="49">
        <f t="shared" ref="C294:M294" si="101">C274/C$22</f>
        <v>0</v>
      </c>
      <c r="D294" s="49">
        <f t="shared" si="101"/>
        <v>0</v>
      </c>
      <c r="E294" s="49">
        <f t="shared" si="101"/>
        <v>0</v>
      </c>
      <c r="F294" s="49">
        <f t="shared" si="101"/>
        <v>0</v>
      </c>
      <c r="G294" s="49">
        <f t="shared" si="101"/>
        <v>0</v>
      </c>
      <c r="H294" s="49">
        <f t="shared" si="101"/>
        <v>0</v>
      </c>
      <c r="I294" s="49">
        <f t="shared" si="101"/>
        <v>0</v>
      </c>
      <c r="J294" s="49">
        <f t="shared" si="101"/>
        <v>0</v>
      </c>
      <c r="K294" s="49">
        <f t="shared" si="101"/>
        <v>0</v>
      </c>
      <c r="L294" s="49">
        <f t="shared" si="101"/>
        <v>0</v>
      </c>
      <c r="M294" s="49">
        <f t="shared" si="101"/>
        <v>0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</row>
    <row r="295" spans="2:33" hidden="1" x14ac:dyDescent="0.2">
      <c r="B295" s="4">
        <v>1</v>
      </c>
      <c r="C295" s="49">
        <f>C275/C$22</f>
        <v>83.297582454747015</v>
      </c>
      <c r="D295" s="49">
        <f t="shared" ref="D295:M295" si="102">D275/D$22</f>
        <v>59.099799891662776</v>
      </c>
      <c r="E295" s="49">
        <f t="shared" si="102"/>
        <v>50.007507996758108</v>
      </c>
      <c r="F295" s="49">
        <f t="shared" si="102"/>
        <v>41.538353035564683</v>
      </c>
      <c r="G295" s="49">
        <f t="shared" si="102"/>
        <v>44.056864361775105</v>
      </c>
      <c r="H295" s="49">
        <f t="shared" si="102"/>
        <v>25.008414658814385</v>
      </c>
      <c r="I295" s="49">
        <f t="shared" si="102"/>
        <v>17.169500323785282</v>
      </c>
      <c r="J295" s="49">
        <f t="shared" si="102"/>
        <v>14.601263965520511</v>
      </c>
      <c r="K295" s="49">
        <f t="shared" si="102"/>
        <v>16.374804816195919</v>
      </c>
      <c r="L295" s="49">
        <f t="shared" si="102"/>
        <v>13.738517872179221</v>
      </c>
      <c r="M295" s="49">
        <f t="shared" si="102"/>
        <v>16.492025627054506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</row>
    <row r="296" spans="2:33" hidden="1" x14ac:dyDescent="0.2">
      <c r="B296" s="4">
        <v>2</v>
      </c>
      <c r="C296" s="49">
        <f t="shared" ref="C296:M306" si="103">C276/C$22</f>
        <v>97.300890733798127</v>
      </c>
      <c r="D296" s="49">
        <f t="shared" si="103"/>
        <v>75.672234638332455</v>
      </c>
      <c r="E296" s="49">
        <f t="shared" si="103"/>
        <v>64.053179554809077</v>
      </c>
      <c r="F296" s="49">
        <f t="shared" si="103"/>
        <v>47.605344722395643</v>
      </c>
      <c r="G296" s="49">
        <f t="shared" si="103"/>
        <v>51.973915420807025</v>
      </c>
      <c r="H296" s="49">
        <f t="shared" si="103"/>
        <v>30.956227740256285</v>
      </c>
      <c r="I296" s="49">
        <f t="shared" si="103"/>
        <v>20.996584323077474</v>
      </c>
      <c r="J296" s="49">
        <f t="shared" si="103"/>
        <v>18.78976804278787</v>
      </c>
      <c r="K296" s="49">
        <f t="shared" si="103"/>
        <v>22.00647841447536</v>
      </c>
      <c r="L296" s="49">
        <f t="shared" si="103"/>
        <v>16.342572056523121</v>
      </c>
      <c r="M296" s="49">
        <f t="shared" si="103"/>
        <v>20.765192386967101</v>
      </c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</row>
    <row r="297" spans="2:33" hidden="1" x14ac:dyDescent="0.2">
      <c r="B297" s="4">
        <v>3</v>
      </c>
      <c r="C297" s="49">
        <f t="shared" si="103"/>
        <v>109.45555710601775</v>
      </c>
      <c r="D297" s="49">
        <f t="shared" si="103"/>
        <v>90.911210732873172</v>
      </c>
      <c r="E297" s="49">
        <f t="shared" si="103"/>
        <v>76.377207222320919</v>
      </c>
      <c r="F297" s="49">
        <f t="shared" si="103"/>
        <v>52.159556898126034</v>
      </c>
      <c r="G297" s="49">
        <f t="shared" si="103"/>
        <v>59.001221088102135</v>
      </c>
      <c r="H297" s="49">
        <f t="shared" si="103"/>
        <v>36.074180124669347</v>
      </c>
      <c r="I297" s="49">
        <f t="shared" si="103"/>
        <v>24.5185485234712</v>
      </c>
      <c r="J297" s="49">
        <f t="shared" si="103"/>
        <v>22.344129072585318</v>
      </c>
      <c r="K297" s="49">
        <f t="shared" si="103"/>
        <v>27.1132490957424</v>
      </c>
      <c r="L297" s="49">
        <f t="shared" si="103"/>
        <v>18.61625801344892</v>
      </c>
      <c r="M297" s="49">
        <f t="shared" si="103"/>
        <v>24.684297340814116</v>
      </c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</row>
    <row r="298" spans="2:33" hidden="1" x14ac:dyDescent="0.2">
      <c r="B298" s="4">
        <v>4</v>
      </c>
      <c r="C298" s="49">
        <f t="shared" si="103"/>
        <v>121.40308605140004</v>
      </c>
      <c r="D298" s="49">
        <f t="shared" si="103"/>
        <v>105.78006409645847</v>
      </c>
      <c r="E298" s="49">
        <f t="shared" si="103"/>
        <v>88.032148555089094</v>
      </c>
      <c r="F298" s="49">
        <f t="shared" si="103"/>
        <v>56.567914199981807</v>
      </c>
      <c r="G298" s="49">
        <f t="shared" si="103"/>
        <v>65.768327863638348</v>
      </c>
      <c r="H298" s="49">
        <f t="shared" si="103"/>
        <v>41.122925260794496</v>
      </c>
      <c r="I298" s="49">
        <f t="shared" si="103"/>
        <v>27.837962042528879</v>
      </c>
      <c r="J298" s="49">
        <f t="shared" si="103"/>
        <v>25.823471331517563</v>
      </c>
      <c r="K298" s="49">
        <f t="shared" si="103"/>
        <v>32.100852459490071</v>
      </c>
      <c r="L298" s="49">
        <f t="shared" si="103"/>
        <v>20.833503766767752</v>
      </c>
      <c r="M298" s="49">
        <f t="shared" si="103"/>
        <v>28.48605150309341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</row>
    <row r="299" spans="2:33" hidden="1" x14ac:dyDescent="0.2">
      <c r="B299" s="4">
        <v>5</v>
      </c>
      <c r="C299" s="49">
        <f t="shared" si="103"/>
        <v>133.13485448840262</v>
      </c>
      <c r="D299" s="49">
        <f t="shared" si="103"/>
        <v>120.29099657736158</v>
      </c>
      <c r="E299" s="49">
        <f t="shared" si="103"/>
        <v>99.08643283734871</v>
      </c>
      <c r="F299" s="49">
        <f t="shared" si="103"/>
        <v>60.830541968731133</v>
      </c>
      <c r="G299" s="49">
        <f t="shared" si="103"/>
        <v>72.287369374492513</v>
      </c>
      <c r="H299" s="49">
        <f t="shared" si="103"/>
        <v>46.10249963110315</v>
      </c>
      <c r="I299" s="49">
        <f t="shared" si="103"/>
        <v>30.954824880250513</v>
      </c>
      <c r="J299" s="49">
        <f t="shared" si="103"/>
        <v>29.227794819584613</v>
      </c>
      <c r="K299" s="49">
        <f t="shared" si="103"/>
        <v>36.972326765938405</v>
      </c>
      <c r="L299" s="49">
        <f t="shared" si="103"/>
        <v>22.994309316479622</v>
      </c>
      <c r="M299" s="49">
        <f t="shared" si="103"/>
        <v>32.194568050154537</v>
      </c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</row>
    <row r="300" spans="2:33" hidden="1" x14ac:dyDescent="0.2">
      <c r="B300" s="4">
        <v>6</v>
      </c>
      <c r="C300" s="49">
        <f t="shared" si="103"/>
        <v>144.66572347244963</v>
      </c>
      <c r="D300" s="49">
        <f t="shared" si="103"/>
        <v>134.45621002385579</v>
      </c>
      <c r="E300" s="49"/>
      <c r="F300" s="49">
        <f t="shared" si="103"/>
        <v>64.94756554514214</v>
      </c>
      <c r="G300" s="49">
        <f t="shared" si="103"/>
        <v>78.57047924774146</v>
      </c>
      <c r="H300" s="49">
        <f t="shared" si="103"/>
        <v>51.01293971806674</v>
      </c>
      <c r="I300" s="49">
        <f t="shared" si="103"/>
        <v>33.869137036636097</v>
      </c>
      <c r="J300" s="49">
        <f t="shared" si="103"/>
        <v>32.557099536786453</v>
      </c>
      <c r="K300" s="49">
        <f t="shared" si="103"/>
        <v>41.730710275307445</v>
      </c>
      <c r="L300" s="49">
        <f t="shared" si="103"/>
        <v>25.098674662584518</v>
      </c>
      <c r="M300" s="49">
        <f t="shared" si="103"/>
        <v>35.833960158347004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</row>
    <row r="301" spans="2:33" hidden="1" x14ac:dyDescent="0.2">
      <c r="B301" s="4">
        <v>7</v>
      </c>
      <c r="C301" s="49">
        <f t="shared" si="103"/>
        <v>156.01055405896514</v>
      </c>
      <c r="D301" s="49">
        <f t="shared" si="103"/>
        <v>148.28790628421436</v>
      </c>
      <c r="E301" s="49"/>
      <c r="F301" s="49">
        <f t="shared" si="103"/>
        <v>68.919110269982994</v>
      </c>
      <c r="G301" s="49">
        <f t="shared" si="103"/>
        <v>84.629791110462008</v>
      </c>
      <c r="H301" s="49">
        <f t="shared" si="103"/>
        <v>55.854282004156694</v>
      </c>
      <c r="I301" s="49">
        <f t="shared" si="103"/>
        <v>36.580898511685646</v>
      </c>
      <c r="J301" s="49">
        <f t="shared" si="103"/>
        <v>35.811385483123097</v>
      </c>
      <c r="K301" s="49">
        <f t="shared" si="103"/>
        <v>46.379041247817241</v>
      </c>
      <c r="L301" s="49">
        <f t="shared" si="103"/>
        <v>27.146599805082452</v>
      </c>
      <c r="M301" s="49">
        <f t="shared" si="103"/>
        <v>39.428341004020361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</row>
    <row r="302" spans="2:33" hidden="1" x14ac:dyDescent="0.2">
      <c r="B302" s="4">
        <v>8</v>
      </c>
      <c r="C302" s="49">
        <f t="shared" si="103"/>
        <v>167.18420730337331</v>
      </c>
      <c r="D302" s="49">
        <f t="shared" si="103"/>
        <v>161.79828720671048</v>
      </c>
      <c r="E302" s="49"/>
      <c r="F302" s="49">
        <f t="shared" si="103"/>
        <v>72.745301484021837</v>
      </c>
      <c r="G302" s="49"/>
      <c r="H302" s="49">
        <f t="shared" si="103"/>
        <v>60.626562971844429</v>
      </c>
      <c r="I302" s="49"/>
      <c r="J302" s="49">
        <f t="shared" si="103"/>
        <v>38.990652658594534</v>
      </c>
      <c r="K302" s="49">
        <f t="shared" si="103"/>
        <v>10.92035794368782</v>
      </c>
      <c r="L302" s="49">
        <f t="shared" si="103"/>
        <v>29.138084743973423</v>
      </c>
      <c r="M302" s="49">
        <f t="shared" si="103"/>
        <v>43.001823763524115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</row>
    <row r="303" spans="2:33" hidden="1" x14ac:dyDescent="0.2">
      <c r="B303" s="4">
        <v>9</v>
      </c>
      <c r="C303" s="49">
        <f t="shared" si="103"/>
        <v>178.20154426109821</v>
      </c>
      <c r="D303" s="49"/>
      <c r="E303" s="49"/>
      <c r="F303" s="49">
        <f t="shared" si="103"/>
        <v>76.426264528026849</v>
      </c>
      <c r="G303" s="49"/>
      <c r="H303" s="49">
        <f t="shared" si="103"/>
        <v>65.329819103601366</v>
      </c>
      <c r="I303" s="49"/>
      <c r="J303" s="49">
        <f t="shared" si="103"/>
        <v>42.094901063200766</v>
      </c>
      <c r="K303" s="49"/>
      <c r="L303" s="49">
        <f t="shared" si="103"/>
        <v>31.073129479257425</v>
      </c>
      <c r="M303" s="49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</row>
    <row r="304" spans="2:33" hidden="1" x14ac:dyDescent="0.2">
      <c r="B304" s="4">
        <v>10</v>
      </c>
      <c r="C304" s="49">
        <f t="shared" si="103"/>
        <v>189.077425987564</v>
      </c>
      <c r="D304" s="49"/>
      <c r="E304" s="49"/>
      <c r="F304" s="49">
        <f t="shared" si="103"/>
        <v>79.962124742766164</v>
      </c>
      <c r="G304" s="49"/>
      <c r="H304" s="49">
        <f t="shared" si="103"/>
        <v>69.964086881898908</v>
      </c>
      <c r="I304" s="49"/>
      <c r="J304" s="49">
        <f t="shared" si="103"/>
        <v>45.124130696941798</v>
      </c>
      <c r="K304" s="49"/>
      <c r="L304" s="49">
        <f t="shared" si="103"/>
        <v>32.951734010934459</v>
      </c>
      <c r="M304" s="49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</row>
    <row r="305" spans="2:33" hidden="1" x14ac:dyDescent="0.2">
      <c r="B305" s="4">
        <v>11</v>
      </c>
      <c r="C305" s="49">
        <f t="shared" si="103"/>
        <v>199.8267135381947</v>
      </c>
      <c r="D305" s="49"/>
      <c r="E305" s="49"/>
      <c r="F305" s="49">
        <f t="shared" si="103"/>
        <v>83.353007469007935</v>
      </c>
      <c r="G305" s="49"/>
      <c r="H305" s="49">
        <f t="shared" si="103"/>
        <v>74.529402789208518</v>
      </c>
      <c r="I305" s="49"/>
      <c r="J305" s="49">
        <f t="shared" si="103"/>
        <v>48.078341559817623</v>
      </c>
      <c r="K305" s="49"/>
      <c r="L305" s="49">
        <f t="shared" si="103"/>
        <v>34.773898339004532</v>
      </c>
      <c r="M305" s="49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</row>
    <row r="306" spans="2:33" hidden="1" x14ac:dyDescent="0.2">
      <c r="B306" s="4">
        <v>12</v>
      </c>
      <c r="C306" s="49">
        <f t="shared" si="103"/>
        <v>210.46426796841456</v>
      </c>
      <c r="D306" s="49"/>
      <c r="E306" s="49"/>
      <c r="F306" s="49">
        <f t="shared" si="103"/>
        <v>86.59903804752031</v>
      </c>
      <c r="G306" s="49"/>
      <c r="H306" s="49">
        <f t="shared" si="103"/>
        <v>79.025803308001571</v>
      </c>
      <c r="I306" s="49"/>
      <c r="J306" s="49">
        <f t="shared" si="103"/>
        <v>50.957533651828257</v>
      </c>
      <c r="K306" s="49"/>
      <c r="L306" s="49">
        <f t="shared" si="103"/>
        <v>36.539622463467644</v>
      </c>
      <c r="M306" s="49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</row>
    <row r="307" spans="2:33" hidden="1" x14ac:dyDescent="0.2"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</row>
    <row r="308" spans="2:33" hidden="1" x14ac:dyDescent="0.2"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</row>
    <row r="309" spans="2:33" hidden="1" x14ac:dyDescent="0.2"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</row>
    <row r="310" spans="2:33" hidden="1" x14ac:dyDescent="0.2"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</row>
    <row r="311" spans="2:33" hidden="1" x14ac:dyDescent="0.2"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</row>
    <row r="312" spans="2:33" hidden="1" x14ac:dyDescent="0.2">
      <c r="B312" s="157" t="s">
        <v>148</v>
      </c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</row>
    <row r="313" spans="2:33" hidden="1" x14ac:dyDescent="0.2">
      <c r="B313" s="4" t="s">
        <v>101</v>
      </c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</row>
    <row r="314" spans="2:33" hidden="1" x14ac:dyDescent="0.2">
      <c r="B314" s="4">
        <v>0</v>
      </c>
      <c r="C314" s="153">
        <f>C214*C$22-C274</f>
        <v>64.400000000000006</v>
      </c>
      <c r="D314" s="153">
        <f t="shared" ref="D314:M314" si="104">D214*D$22-D274</f>
        <v>116.2</v>
      </c>
      <c r="E314" s="153">
        <f t="shared" si="104"/>
        <v>155.4</v>
      </c>
      <c r="F314" s="153">
        <f t="shared" si="104"/>
        <v>202</v>
      </c>
      <c r="G314" s="153">
        <f t="shared" si="104"/>
        <v>313</v>
      </c>
      <c r="H314" s="153">
        <f t="shared" si="104"/>
        <v>520.5</v>
      </c>
      <c r="I314" s="153">
        <f t="shared" si="104"/>
        <v>843.75</v>
      </c>
      <c r="J314" s="153">
        <f t="shared" si="104"/>
        <v>1260</v>
      </c>
      <c r="K314" s="153">
        <f t="shared" si="104"/>
        <v>1750</v>
      </c>
      <c r="L314" s="153">
        <f t="shared" si="104"/>
        <v>2284.1</v>
      </c>
      <c r="M314" s="153">
        <f t="shared" si="104"/>
        <v>3412.5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</row>
    <row r="315" spans="2:33" hidden="1" x14ac:dyDescent="0.2">
      <c r="B315" s="4">
        <v>1</v>
      </c>
      <c r="C315" s="153">
        <f t="shared" ref="C315:M326" si="105">C215*C$22-C275</f>
        <v>60.568311207081642</v>
      </c>
      <c r="D315" s="153">
        <f t="shared" si="105"/>
        <v>111.29471660899199</v>
      </c>
      <c r="E315" s="153">
        <f t="shared" si="105"/>
        <v>149.84916661235985</v>
      </c>
      <c r="F315" s="153">
        <f t="shared" si="105"/>
        <v>193.60925268681592</v>
      </c>
      <c r="G315" s="153">
        <f t="shared" si="105"/>
        <v>299.21020145476439</v>
      </c>
      <c r="H315" s="153">
        <f t="shared" si="105"/>
        <v>503.14416022678284</v>
      </c>
      <c r="I315" s="153">
        <f t="shared" si="105"/>
        <v>824.43431213574161</v>
      </c>
      <c r="J315" s="153">
        <f t="shared" si="105"/>
        <v>1233.7177248620631</v>
      </c>
      <c r="K315" s="153">
        <f t="shared" si="105"/>
        <v>1709.0629879595101</v>
      </c>
      <c r="L315" s="153">
        <f t="shared" si="105"/>
        <v>2235.8228481971623</v>
      </c>
      <c r="M315" s="153">
        <f t="shared" si="105"/>
        <v>3325.9168654579639</v>
      </c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</row>
    <row r="316" spans="2:33" hidden="1" x14ac:dyDescent="0.2">
      <c r="B316" s="4">
        <v>2</v>
      </c>
      <c r="C316" s="153">
        <f t="shared" si="105"/>
        <v>59.924159026245292</v>
      </c>
      <c r="D316" s="153">
        <f t="shared" si="105"/>
        <v>109.91920452501842</v>
      </c>
      <c r="E316" s="153">
        <f t="shared" si="105"/>
        <v>148.29009706941619</v>
      </c>
      <c r="F316" s="153">
        <f t="shared" si="105"/>
        <v>192.38372036607609</v>
      </c>
      <c r="G316" s="153">
        <f t="shared" si="105"/>
        <v>296.73216447328741</v>
      </c>
      <c r="H316" s="153">
        <f t="shared" si="105"/>
        <v>499.01637794826212</v>
      </c>
      <c r="I316" s="153">
        <f t="shared" si="105"/>
        <v>820.1288426365378</v>
      </c>
      <c r="J316" s="153">
        <f t="shared" si="105"/>
        <v>1226.1784175229818</v>
      </c>
      <c r="K316" s="153">
        <f t="shared" si="105"/>
        <v>1694.9838039638116</v>
      </c>
      <c r="L316" s="153">
        <f t="shared" si="105"/>
        <v>2226.6722017933776</v>
      </c>
      <c r="M316" s="153">
        <f t="shared" si="105"/>
        <v>3303.4827399684227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</row>
    <row r="317" spans="2:33" hidden="1" x14ac:dyDescent="0.2">
      <c r="B317" s="4">
        <v>3</v>
      </c>
      <c r="C317" s="153">
        <f t="shared" si="105"/>
        <v>59.36504437312319</v>
      </c>
      <c r="D317" s="153">
        <f t="shared" si="105"/>
        <v>108.65436950917153</v>
      </c>
      <c r="E317" s="153">
        <f t="shared" si="105"/>
        <v>146.92212999832239</v>
      </c>
      <c r="F317" s="153">
        <f t="shared" si="105"/>
        <v>191.46376950657853</v>
      </c>
      <c r="G317" s="153">
        <f t="shared" si="105"/>
        <v>294.53261779942403</v>
      </c>
      <c r="H317" s="153">
        <f t="shared" si="105"/>
        <v>495.46451899347949</v>
      </c>
      <c r="I317" s="153">
        <f t="shared" si="105"/>
        <v>816.16663291109489</v>
      </c>
      <c r="J317" s="153">
        <f t="shared" si="105"/>
        <v>1219.7805676693465</v>
      </c>
      <c r="K317" s="153">
        <f t="shared" si="105"/>
        <v>1682.216877260644</v>
      </c>
      <c r="L317" s="153">
        <f t="shared" si="105"/>
        <v>2218.6824693407402</v>
      </c>
      <c r="M317" s="153">
        <f t="shared" si="105"/>
        <v>3282.9074389607258</v>
      </c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</row>
    <row r="318" spans="2:33" hidden="1" x14ac:dyDescent="0.2">
      <c r="B318" s="4">
        <v>4</v>
      </c>
      <c r="C318" s="153">
        <f t="shared" si="105"/>
        <v>58.815458041635601</v>
      </c>
      <c r="D318" s="153">
        <f t="shared" si="105"/>
        <v>107.42025467999395</v>
      </c>
      <c r="E318" s="153">
        <f t="shared" si="105"/>
        <v>130.82843151038514</v>
      </c>
      <c r="F318" s="153">
        <f t="shared" si="105"/>
        <v>190.57328133160368</v>
      </c>
      <c r="G318" s="153">
        <f t="shared" si="105"/>
        <v>292.41451337868119</v>
      </c>
      <c r="H318" s="153">
        <f t="shared" si="105"/>
        <v>491.9606898690086</v>
      </c>
      <c r="I318" s="153">
        <f t="shared" si="105"/>
        <v>812.432292702155</v>
      </c>
      <c r="J318" s="153">
        <f t="shared" si="105"/>
        <v>1213.5177516032684</v>
      </c>
      <c r="K318" s="153">
        <f t="shared" si="105"/>
        <v>1669.7478688512749</v>
      </c>
      <c r="L318" s="153">
        <f t="shared" si="105"/>
        <v>2210.8910677635781</v>
      </c>
      <c r="M318" s="153">
        <f t="shared" si="105"/>
        <v>3262.9482296087594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</row>
    <row r="319" spans="2:33" hidden="1" x14ac:dyDescent="0.2">
      <c r="B319" s="4">
        <v>5</v>
      </c>
      <c r="C319" s="153">
        <f t="shared" si="105"/>
        <v>58.275796693533486</v>
      </c>
      <c r="D319" s="153">
        <f t="shared" si="105"/>
        <v>106.21584728407899</v>
      </c>
      <c r="E319" s="153">
        <f t="shared" si="105"/>
        <v>100.0014059550543</v>
      </c>
      <c r="F319" s="153">
        <f t="shared" si="105"/>
        <v>189.7122305223163</v>
      </c>
      <c r="G319" s="153">
        <f t="shared" si="105"/>
        <v>290.37405338578384</v>
      </c>
      <c r="H319" s="153">
        <f t="shared" si="105"/>
        <v>488.5048652560144</v>
      </c>
      <c r="I319" s="153">
        <f t="shared" si="105"/>
        <v>808.92582200971822</v>
      </c>
      <c r="J319" s="153">
        <f t="shared" si="105"/>
        <v>1207.3899693247477</v>
      </c>
      <c r="K319" s="153">
        <f t="shared" si="105"/>
        <v>1657.569183085154</v>
      </c>
      <c r="L319" s="153">
        <f t="shared" si="105"/>
        <v>2203.2979970618903</v>
      </c>
      <c r="M319" s="153">
        <f t="shared" si="105"/>
        <v>3243.4785177366884</v>
      </c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</row>
    <row r="320" spans="2:33" hidden="1" x14ac:dyDescent="0.2">
      <c r="B320" s="4">
        <v>6</v>
      </c>
      <c r="C320" s="153">
        <f t="shared" si="105"/>
        <v>57.745376720267323</v>
      </c>
      <c r="D320" s="153">
        <f t="shared" si="105"/>
        <v>98.400134568019979</v>
      </c>
      <c r="E320" s="153"/>
      <c r="F320" s="153">
        <f t="shared" si="105"/>
        <v>188.8805917598813</v>
      </c>
      <c r="G320" s="153">
        <f t="shared" si="105"/>
        <v>249.28243999545691</v>
      </c>
      <c r="H320" s="153">
        <f t="shared" si="105"/>
        <v>485.09701983566168</v>
      </c>
      <c r="I320" s="153">
        <f t="shared" si="105"/>
        <v>693.14722083378433</v>
      </c>
      <c r="J320" s="153">
        <f t="shared" si="105"/>
        <v>1201.3972208337843</v>
      </c>
      <c r="K320" s="153">
        <f t="shared" si="105"/>
        <v>1420.6732243117315</v>
      </c>
      <c r="L320" s="153">
        <f t="shared" si="105"/>
        <v>2195.9032572356778</v>
      </c>
      <c r="M320" s="153">
        <f t="shared" si="105"/>
        <v>2982.8717091686781</v>
      </c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</row>
    <row r="321" spans="2:33" hidden="1" x14ac:dyDescent="0.2">
      <c r="B321" s="4">
        <v>7</v>
      </c>
      <c r="C321" s="153">
        <f t="shared" si="105"/>
        <v>57.223514513287611</v>
      </c>
      <c r="D321" s="153">
        <f t="shared" si="105"/>
        <v>83.972103778410215</v>
      </c>
      <c r="E321" s="153"/>
      <c r="F321" s="153">
        <f t="shared" si="105"/>
        <v>188.07833972546342</v>
      </c>
      <c r="G321" s="153">
        <f t="shared" si="105"/>
        <v>208.26087538242538</v>
      </c>
      <c r="H321" s="153">
        <f t="shared" si="105"/>
        <v>481.73712828911528</v>
      </c>
      <c r="I321" s="153">
        <f t="shared" si="105"/>
        <v>577.59648917435368</v>
      </c>
      <c r="J321" s="153">
        <f t="shared" si="105"/>
        <v>1195.5395061303784</v>
      </c>
      <c r="K321" s="153">
        <f t="shared" si="105"/>
        <v>1184.0523968804569</v>
      </c>
      <c r="L321" s="153">
        <f t="shared" si="105"/>
        <v>2188.70684828494</v>
      </c>
      <c r="M321" s="153">
        <f t="shared" si="105"/>
        <v>2481.0012097288932</v>
      </c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</row>
    <row r="322" spans="2:33" hidden="1" x14ac:dyDescent="0.2">
      <c r="B322" s="4">
        <v>8</v>
      </c>
      <c r="C322" s="153">
        <f t="shared" si="105"/>
        <v>56.709526464044835</v>
      </c>
      <c r="D322" s="153">
        <f t="shared" si="105"/>
        <v>69.570742161843029</v>
      </c>
      <c r="E322" s="153"/>
      <c r="F322" s="153">
        <f t="shared" si="105"/>
        <v>187.30544910022758</v>
      </c>
      <c r="G322" s="153"/>
      <c r="H322" s="153">
        <f t="shared" si="105"/>
        <v>478.42516529753999</v>
      </c>
      <c r="I322" s="153"/>
      <c r="J322" s="153">
        <f t="shared" si="105"/>
        <v>1189.8168252145299</v>
      </c>
      <c r="K322" s="153"/>
      <c r="L322" s="153">
        <f t="shared" si="105"/>
        <v>2181.7087702096774</v>
      </c>
      <c r="M322" s="153">
        <f t="shared" si="105"/>
        <v>1979.2404252414983</v>
      </c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</row>
    <row r="323" spans="2:33" hidden="1" x14ac:dyDescent="0.2">
      <c r="B323" s="4">
        <v>9</v>
      </c>
      <c r="C323" s="153">
        <f t="shared" si="105"/>
        <v>53.574157535418053</v>
      </c>
      <c r="D323" s="153"/>
      <c r="E323" s="153"/>
      <c r="F323" s="153">
        <f t="shared" si="105"/>
        <v>179.34760885105288</v>
      </c>
      <c r="G323" s="153"/>
      <c r="H323" s="153">
        <f t="shared" si="105"/>
        <v>455.33253411352916</v>
      </c>
      <c r="I323" s="153"/>
      <c r="J323" s="153">
        <f t="shared" si="105"/>
        <v>1137.9434638005243</v>
      </c>
      <c r="K323" s="153"/>
      <c r="L323" s="153">
        <f t="shared" si="105"/>
        <v>2059.4490230098891</v>
      </c>
      <c r="M323" s="153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</row>
    <row r="324" spans="2:33" hidden="1" x14ac:dyDescent="0.2">
      <c r="B324" s="4">
        <v>10</v>
      </c>
      <c r="C324" s="153">
        <f t="shared" si="105"/>
        <v>47.816724118857778</v>
      </c>
      <c r="D324" s="153"/>
      <c r="E324" s="153"/>
      <c r="F324" s="153">
        <f t="shared" si="105"/>
        <v>164.2047936591041</v>
      </c>
      <c r="G324" s="153"/>
      <c r="H324" s="153">
        <f t="shared" si="105"/>
        <v>412.45920941824789</v>
      </c>
      <c r="I324" s="153"/>
      <c r="J324" s="153">
        <f t="shared" si="105"/>
        <v>1039.9194218883622</v>
      </c>
      <c r="K324" s="153"/>
      <c r="L324" s="153">
        <f t="shared" si="105"/>
        <v>1821.9276066855764</v>
      </c>
      <c r="M324" s="153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</row>
    <row r="325" spans="2:33" hidden="1" x14ac:dyDescent="0.2">
      <c r="B325" s="4">
        <v>11</v>
      </c>
      <c r="C325" s="153">
        <f t="shared" si="105"/>
        <v>42.0651140343859</v>
      </c>
      <c r="D325" s="153"/>
      <c r="E325" s="153"/>
      <c r="F325" s="153">
        <f t="shared" si="105"/>
        <v>149.09126391983185</v>
      </c>
      <c r="G325" s="153"/>
      <c r="H325" s="153">
        <f t="shared" si="105"/>
        <v>369.63373732143214</v>
      </c>
      <c r="I325" s="153"/>
      <c r="J325" s="153">
        <f t="shared" si="105"/>
        <v>942.030413763757</v>
      </c>
      <c r="K325" s="153"/>
      <c r="L325" s="153">
        <f t="shared" si="105"/>
        <v>1584.604521236738</v>
      </c>
      <c r="M325" s="153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</row>
    <row r="326" spans="2:33" hidden="1" x14ac:dyDescent="0.2">
      <c r="B326" s="4">
        <v>12</v>
      </c>
      <c r="C326" s="153">
        <f t="shared" si="105"/>
        <v>36.318643673452932</v>
      </c>
      <c r="D326" s="153"/>
      <c r="E326" s="153"/>
      <c r="F326" s="153">
        <f t="shared" si="105"/>
        <v>134.00699431440088</v>
      </c>
      <c r="G326" s="153"/>
      <c r="H326" s="153">
        <f t="shared" si="105"/>
        <v>326.85609250424693</v>
      </c>
      <c r="I326" s="153"/>
      <c r="J326" s="153">
        <f t="shared" si="105"/>
        <v>844.27643942670909</v>
      </c>
      <c r="K326" s="153"/>
      <c r="L326" s="153">
        <f t="shared" si="105"/>
        <v>1347.4797666633747</v>
      </c>
      <c r="M326" s="153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</row>
    <row r="327" spans="2:33" hidden="1" x14ac:dyDescent="0.2"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</row>
    <row r="328" spans="2:33" hidden="1" x14ac:dyDescent="0.2"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</row>
    <row r="329" spans="2:33" hidden="1" x14ac:dyDescent="0.2"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</row>
    <row r="330" spans="2:33" hidden="1" x14ac:dyDescent="0.2"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</row>
    <row r="331" spans="2:33" hidden="1" x14ac:dyDescent="0.2"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</row>
    <row r="332" spans="2:33" hidden="1" x14ac:dyDescent="0.2">
      <c r="B332" s="157" t="s">
        <v>150</v>
      </c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</row>
    <row r="333" spans="2:33" hidden="1" x14ac:dyDescent="0.2">
      <c r="B333" s="108" t="s">
        <v>149</v>
      </c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</row>
    <row r="334" spans="2:33" hidden="1" x14ac:dyDescent="0.2">
      <c r="B334" s="4">
        <v>0</v>
      </c>
      <c r="C334" s="153">
        <f t="shared" ref="C334:K339" si="106">(((C$76-C$75)*$B334/C$107)+C$75)</f>
        <v>5</v>
      </c>
      <c r="D334" s="153">
        <f t="shared" si="106"/>
        <v>6</v>
      </c>
      <c r="E334" s="153">
        <f t="shared" si="106"/>
        <v>6</v>
      </c>
      <c r="F334" s="153">
        <f t="shared" si="106"/>
        <v>9</v>
      </c>
      <c r="G334" s="153">
        <f t="shared" si="106"/>
        <v>15</v>
      </c>
      <c r="H334" s="153">
        <f t="shared" si="106"/>
        <v>20</v>
      </c>
      <c r="I334" s="153">
        <f t="shared" si="106"/>
        <v>37</v>
      </c>
      <c r="J334" s="153">
        <f t="shared" si="106"/>
        <v>30</v>
      </c>
      <c r="K334" s="153">
        <f t="shared" si="106"/>
        <v>40</v>
      </c>
      <c r="L334" s="153"/>
      <c r="M334" s="153"/>
      <c r="N334" s="153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</row>
    <row r="335" spans="2:33" hidden="1" x14ac:dyDescent="0.2">
      <c r="B335" s="4">
        <v>1</v>
      </c>
      <c r="C335" s="153">
        <f t="shared" si="106"/>
        <v>5.666666666666667</v>
      </c>
      <c r="D335" s="153">
        <f t="shared" si="106"/>
        <v>7.5</v>
      </c>
      <c r="E335" s="153">
        <f t="shared" si="106"/>
        <v>7.8</v>
      </c>
      <c r="F335" s="153">
        <f t="shared" si="106"/>
        <v>10.75</v>
      </c>
      <c r="G335" s="153">
        <f t="shared" si="106"/>
        <v>18.857142857142858</v>
      </c>
      <c r="H335" s="153">
        <f t="shared" si="106"/>
        <v>22.5</v>
      </c>
      <c r="I335" s="153">
        <f t="shared" si="106"/>
        <v>41</v>
      </c>
      <c r="J335" s="153">
        <f t="shared" si="106"/>
        <v>36.666666666666664</v>
      </c>
      <c r="K335" s="153">
        <f t="shared" si="106"/>
        <v>52.857142857142861</v>
      </c>
      <c r="L335" s="153"/>
      <c r="M335" s="153"/>
      <c r="N335" s="153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</row>
    <row r="336" spans="2:33" hidden="1" x14ac:dyDescent="0.2">
      <c r="B336" s="4">
        <v>2</v>
      </c>
      <c r="C336" s="153">
        <f t="shared" si="106"/>
        <v>6.333333333333333</v>
      </c>
      <c r="D336" s="153">
        <f t="shared" si="106"/>
        <v>9</v>
      </c>
      <c r="E336" s="153">
        <f t="shared" si="106"/>
        <v>9.6</v>
      </c>
      <c r="F336" s="153">
        <f t="shared" si="106"/>
        <v>12.5</v>
      </c>
      <c r="G336" s="153">
        <f t="shared" si="106"/>
        <v>22.714285714285715</v>
      </c>
      <c r="H336" s="153">
        <f t="shared" si="106"/>
        <v>25</v>
      </c>
      <c r="I336" s="153">
        <f t="shared" si="106"/>
        <v>45</v>
      </c>
      <c r="J336" s="153">
        <f t="shared" si="106"/>
        <v>43.333333333333336</v>
      </c>
      <c r="K336" s="153">
        <f t="shared" si="106"/>
        <v>65.714285714285722</v>
      </c>
      <c r="L336" s="153"/>
      <c r="M336" s="153"/>
      <c r="N336" s="153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</row>
    <row r="337" spans="2:33" hidden="1" x14ac:dyDescent="0.2">
      <c r="B337" s="4">
        <v>3</v>
      </c>
      <c r="C337" s="153">
        <f t="shared" si="106"/>
        <v>7</v>
      </c>
      <c r="D337" s="153">
        <f t="shared" si="106"/>
        <v>10.5</v>
      </c>
      <c r="E337" s="153">
        <f t="shared" si="106"/>
        <v>11.4</v>
      </c>
      <c r="F337" s="153">
        <f t="shared" si="106"/>
        <v>14.25</v>
      </c>
      <c r="G337" s="153">
        <f t="shared" si="106"/>
        <v>26.571428571428569</v>
      </c>
      <c r="H337" s="153">
        <f t="shared" si="106"/>
        <v>27.5</v>
      </c>
      <c r="I337" s="153">
        <f t="shared" si="106"/>
        <v>49</v>
      </c>
      <c r="J337" s="153">
        <f t="shared" si="106"/>
        <v>50</v>
      </c>
      <c r="K337" s="153">
        <f t="shared" si="106"/>
        <v>78.571428571428569</v>
      </c>
      <c r="L337" s="153"/>
      <c r="M337" s="153"/>
      <c r="N337" s="153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</row>
    <row r="338" spans="2:33" hidden="1" x14ac:dyDescent="0.2">
      <c r="B338" s="4">
        <v>4</v>
      </c>
      <c r="C338" s="153">
        <f t="shared" si="106"/>
        <v>7.6666666666666661</v>
      </c>
      <c r="D338" s="153">
        <f t="shared" si="106"/>
        <v>12</v>
      </c>
      <c r="E338" s="153">
        <f t="shared" si="106"/>
        <v>13.2</v>
      </c>
      <c r="F338" s="153">
        <f t="shared" si="106"/>
        <v>16</v>
      </c>
      <c r="G338" s="153">
        <f t="shared" si="106"/>
        <v>30.428571428571431</v>
      </c>
      <c r="H338" s="153">
        <f t="shared" si="106"/>
        <v>30</v>
      </c>
      <c r="I338" s="153">
        <f t="shared" si="106"/>
        <v>53</v>
      </c>
      <c r="J338" s="153">
        <f t="shared" si="106"/>
        <v>56.666666666666671</v>
      </c>
      <c r="K338" s="153">
        <f t="shared" si="106"/>
        <v>91.428571428571431</v>
      </c>
      <c r="L338" s="153"/>
      <c r="M338" s="153"/>
      <c r="N338" s="153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</row>
    <row r="339" spans="2:33" hidden="1" x14ac:dyDescent="0.2">
      <c r="B339" s="4">
        <v>5</v>
      </c>
      <c r="C339" s="153">
        <f t="shared" si="106"/>
        <v>8.3333333333333339</v>
      </c>
      <c r="D339" s="153">
        <f t="shared" si="106"/>
        <v>13.5</v>
      </c>
      <c r="E339" s="153">
        <f t="shared" si="106"/>
        <v>15</v>
      </c>
      <c r="F339" s="153">
        <f t="shared" si="106"/>
        <v>17.75</v>
      </c>
      <c r="G339" s="153">
        <f t="shared" si="106"/>
        <v>34.285714285714285</v>
      </c>
      <c r="H339" s="153">
        <f t="shared" si="106"/>
        <v>32.5</v>
      </c>
      <c r="I339" s="153">
        <f t="shared" si="106"/>
        <v>57</v>
      </c>
      <c r="J339" s="153">
        <f t="shared" si="106"/>
        <v>63.333333333333336</v>
      </c>
      <c r="K339" s="153">
        <f t="shared" si="106"/>
        <v>104.28571428571429</v>
      </c>
      <c r="L339" s="153"/>
      <c r="M339" s="153"/>
      <c r="N339" s="153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</row>
    <row r="340" spans="2:33" hidden="1" x14ac:dyDescent="0.2">
      <c r="B340" s="4">
        <v>6</v>
      </c>
      <c r="C340" s="153">
        <f t="shared" ref="C340:D342" si="107">(((C$76-C$75)*$B340/C$107)+C$75)</f>
        <v>9</v>
      </c>
      <c r="D340" s="153">
        <f t="shared" si="107"/>
        <v>15</v>
      </c>
      <c r="E340" s="153"/>
      <c r="F340" s="153">
        <f t="shared" ref="F340:K341" si="108">(((F$76-F$75)*$B340/F$107)+F$75)</f>
        <v>19.5</v>
      </c>
      <c r="G340" s="153">
        <f t="shared" si="108"/>
        <v>38.142857142857139</v>
      </c>
      <c r="H340" s="153">
        <f t="shared" si="108"/>
        <v>35</v>
      </c>
      <c r="I340" s="153">
        <f t="shared" si="108"/>
        <v>61</v>
      </c>
      <c r="J340" s="153">
        <f t="shared" si="108"/>
        <v>70</v>
      </c>
      <c r="K340" s="153">
        <f t="shared" si="108"/>
        <v>117.14285714285714</v>
      </c>
      <c r="L340" s="153"/>
      <c r="M340" s="153"/>
      <c r="N340" s="153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</row>
    <row r="341" spans="2:33" hidden="1" x14ac:dyDescent="0.2">
      <c r="B341" s="4">
        <v>7</v>
      </c>
      <c r="C341" s="153">
        <f t="shared" si="107"/>
        <v>9.6666666666666679</v>
      </c>
      <c r="D341" s="153">
        <f t="shared" si="107"/>
        <v>16.5</v>
      </c>
      <c r="E341" s="153"/>
      <c r="F341" s="153">
        <f t="shared" si="108"/>
        <v>21.25</v>
      </c>
      <c r="G341" s="153">
        <f t="shared" si="108"/>
        <v>42</v>
      </c>
      <c r="H341" s="153">
        <f t="shared" si="108"/>
        <v>37.5</v>
      </c>
      <c r="I341" s="153">
        <f t="shared" si="108"/>
        <v>65</v>
      </c>
      <c r="J341" s="153">
        <f t="shared" si="108"/>
        <v>76.666666666666657</v>
      </c>
      <c r="K341" s="153">
        <f t="shared" si="108"/>
        <v>130</v>
      </c>
      <c r="L341" s="153"/>
      <c r="M341" s="153"/>
      <c r="N341" s="153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</row>
    <row r="342" spans="2:33" hidden="1" x14ac:dyDescent="0.2">
      <c r="B342" s="4">
        <v>8</v>
      </c>
      <c r="C342" s="153">
        <f t="shared" si="107"/>
        <v>10.333333333333332</v>
      </c>
      <c r="D342" s="153">
        <f t="shared" si="107"/>
        <v>18</v>
      </c>
      <c r="E342" s="153"/>
      <c r="F342" s="153">
        <f>(((F$76-F$75)*$B342/F$107)+F$75)</f>
        <v>23</v>
      </c>
      <c r="G342" s="153"/>
      <c r="H342" s="153">
        <f>(((H$76-H$75)*$B342/H$107)+H$75)</f>
        <v>40</v>
      </c>
      <c r="I342" s="153"/>
      <c r="J342" s="153">
        <f>(((J$76-J$75)*$B342/J$107)+J$75)</f>
        <v>83.333333333333343</v>
      </c>
      <c r="K342" s="153"/>
      <c r="L342" s="153"/>
      <c r="M342" s="153"/>
      <c r="N342" s="153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</row>
    <row r="343" spans="2:33" hidden="1" x14ac:dyDescent="0.2">
      <c r="B343" s="4">
        <v>9</v>
      </c>
      <c r="C343" s="153">
        <f>(((C$76-C$75)*$B343/C$107)+C$75)</f>
        <v>11</v>
      </c>
      <c r="D343" s="153"/>
      <c r="E343" s="153"/>
      <c r="F343" s="153">
        <f>(((F$76-F$75)*$B343/F$107)+F$75)</f>
        <v>24.75</v>
      </c>
      <c r="G343" s="153"/>
      <c r="H343" s="153">
        <f>(((H$76-H$75)*$B343/H$107)+H$75)</f>
        <v>42.5</v>
      </c>
      <c r="I343" s="153"/>
      <c r="J343" s="153">
        <f>(((J$76-J$75)*$B343/J$107)+J$75)</f>
        <v>90</v>
      </c>
      <c r="K343" s="153"/>
      <c r="L343" s="153"/>
      <c r="M343" s="153"/>
      <c r="N343" s="153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</row>
    <row r="344" spans="2:33" hidden="1" x14ac:dyDescent="0.2">
      <c r="B344" s="4">
        <v>10</v>
      </c>
      <c r="C344" s="153">
        <f>(((C$76-C$75)*$B344/C$107)+C$75)</f>
        <v>11.666666666666668</v>
      </c>
      <c r="D344" s="153"/>
      <c r="E344" s="153"/>
      <c r="F344" s="153">
        <f>(((F$76-F$75)*$B344/F$107)+F$75)</f>
        <v>26.5</v>
      </c>
      <c r="G344" s="153"/>
      <c r="H344" s="153">
        <f>(((H$76-H$75)*$B344/H$107)+H$75)</f>
        <v>45</v>
      </c>
      <c r="I344" s="153"/>
      <c r="J344" s="153">
        <f>(((J$76-J$75)*$B344/J$107)+J$75)</f>
        <v>96.666666666666671</v>
      </c>
      <c r="K344" s="153"/>
      <c r="L344" s="153"/>
      <c r="M344" s="153"/>
      <c r="N344" s="153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</row>
    <row r="345" spans="2:33" hidden="1" x14ac:dyDescent="0.2">
      <c r="B345" s="4">
        <v>11</v>
      </c>
      <c r="C345" s="153">
        <f>(((C$76-C$75)*$B345/C$107)+C$75)</f>
        <v>12.333333333333332</v>
      </c>
      <c r="D345" s="153"/>
      <c r="E345" s="153"/>
      <c r="F345" s="153">
        <f>(((F$76-F$75)*$B345/F$107)+F$75)</f>
        <v>28.25</v>
      </c>
      <c r="G345" s="153"/>
      <c r="H345" s="153">
        <f>(((H$76-H$75)*$B345/H$107)+H$75)</f>
        <v>47.5</v>
      </c>
      <c r="I345" s="153"/>
      <c r="J345" s="153">
        <f>(((J$76-J$75)*$B345/J$107)+J$75)</f>
        <v>103.33333333333333</v>
      </c>
      <c r="K345" s="153"/>
      <c r="L345" s="153"/>
      <c r="M345" s="153"/>
      <c r="N345" s="153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</row>
    <row r="346" spans="2:33" hidden="1" x14ac:dyDescent="0.2">
      <c r="B346" s="4">
        <v>12</v>
      </c>
      <c r="C346" s="153">
        <f>(((C$76-C$75)*$B346/C$107)+C$75)</f>
        <v>13</v>
      </c>
      <c r="D346" s="153"/>
      <c r="E346" s="153"/>
      <c r="F346" s="153">
        <f>(((F$76-F$75)*$B346/F$107)+F$75)</f>
        <v>30</v>
      </c>
      <c r="G346" s="153"/>
      <c r="H346" s="153">
        <f>(((H$76-H$75)*$B346/H$107)+H$75)</f>
        <v>50</v>
      </c>
      <c r="I346" s="153"/>
      <c r="J346" s="153">
        <f>(((J$76-J$75)*$B346/J$107)+J$75)</f>
        <v>110</v>
      </c>
      <c r="K346" s="153"/>
      <c r="L346" s="153"/>
      <c r="M346" s="153"/>
      <c r="N346" s="153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</row>
    <row r="347" spans="2:33" hidden="1" x14ac:dyDescent="0.2"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</row>
    <row r="348" spans="2:33" hidden="1" x14ac:dyDescent="0.2"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</row>
    <row r="349" spans="2:33" hidden="1" x14ac:dyDescent="0.2"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</row>
    <row r="350" spans="2:33" hidden="1" x14ac:dyDescent="0.2"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</row>
    <row r="351" spans="2:33" hidden="1" x14ac:dyDescent="0.2"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</row>
    <row r="352" spans="2:33" hidden="1" x14ac:dyDescent="0.2">
      <c r="B352" s="157" t="s">
        <v>150</v>
      </c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</row>
    <row r="353" spans="2:33" hidden="1" x14ac:dyDescent="0.2">
      <c r="B353" s="4" t="s">
        <v>103</v>
      </c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</row>
    <row r="354" spans="2:33" hidden="1" x14ac:dyDescent="0.2">
      <c r="B354" s="4">
        <v>0</v>
      </c>
      <c r="C354" s="153">
        <v>0</v>
      </c>
      <c r="D354" s="153">
        <v>0</v>
      </c>
      <c r="E354" s="153">
        <v>0</v>
      </c>
      <c r="F354" s="153">
        <v>0</v>
      </c>
      <c r="G354" s="153">
        <v>0</v>
      </c>
      <c r="H354" s="153">
        <v>0</v>
      </c>
      <c r="I354" s="153">
        <v>0</v>
      </c>
      <c r="J354" s="153">
        <v>0</v>
      </c>
      <c r="K354" s="153">
        <v>0</v>
      </c>
      <c r="L354" s="48"/>
      <c r="M354" s="48"/>
      <c r="N354" s="48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</row>
    <row r="355" spans="2:33" hidden="1" x14ac:dyDescent="0.2">
      <c r="B355" s="4">
        <v>1</v>
      </c>
      <c r="C355" s="153">
        <f>C155+C335</f>
        <v>6.0816887929183627</v>
      </c>
      <c r="D355" s="153">
        <f t="shared" ref="D355:K355" si="109">D155+D335</f>
        <v>8.4052833910080107</v>
      </c>
      <c r="E355" s="153">
        <f t="shared" si="109"/>
        <v>9.350833387640149</v>
      </c>
      <c r="F355" s="153">
        <f t="shared" si="109"/>
        <v>12.640747313184066</v>
      </c>
      <c r="G355" s="153">
        <f t="shared" si="109"/>
        <v>22.075512830949897</v>
      </c>
      <c r="H355" s="153">
        <f t="shared" si="109"/>
        <v>26.272506439883845</v>
      </c>
      <c r="I355" s="153">
        <f t="shared" si="109"/>
        <v>48.315687864258443</v>
      </c>
      <c r="J355" s="153">
        <f t="shared" si="109"/>
        <v>43.365608471270249</v>
      </c>
      <c r="K355" s="153">
        <f t="shared" si="109"/>
        <v>63.794154897632659</v>
      </c>
      <c r="L355" s="153"/>
      <c r="M355" s="153"/>
      <c r="N355" s="48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</row>
    <row r="356" spans="2:33" hidden="1" x14ac:dyDescent="0.2">
      <c r="B356" s="4">
        <v>2</v>
      </c>
      <c r="C356" s="153">
        <f t="shared" ref="C356:K366" si="110">C156+C336</f>
        <v>6.975840973754714</v>
      </c>
      <c r="D356" s="153">
        <f t="shared" si="110"/>
        <v>10.280795474981593</v>
      </c>
      <c r="E356" s="153">
        <f t="shared" si="110"/>
        <v>11.709902930583807</v>
      </c>
      <c r="F356" s="153">
        <f t="shared" si="110"/>
        <v>15.11627963392392</v>
      </c>
      <c r="G356" s="153">
        <f t="shared" si="110"/>
        <v>26.839264098141172</v>
      </c>
      <c r="H356" s="153">
        <f t="shared" si="110"/>
        <v>30.316955385071193</v>
      </c>
      <c r="I356" s="153">
        <f t="shared" si="110"/>
        <v>54.62115736346216</v>
      </c>
      <c r="J356" s="153">
        <f t="shared" si="110"/>
        <v>52.98824914368484</v>
      </c>
      <c r="K356" s="153">
        <f t="shared" si="110"/>
        <v>80.730481750474127</v>
      </c>
      <c r="L356" s="153"/>
      <c r="M356" s="153"/>
      <c r="N356" s="48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</row>
    <row r="357" spans="2:33" hidden="1" x14ac:dyDescent="0.2">
      <c r="B357" s="4">
        <v>3</v>
      </c>
      <c r="C357" s="153">
        <f t="shared" si="110"/>
        <v>7.7849556268768163</v>
      </c>
      <c r="D357" s="153">
        <f t="shared" si="110"/>
        <v>12.045630490828474</v>
      </c>
      <c r="E357" s="153">
        <f t="shared" si="110"/>
        <v>13.877870001677623</v>
      </c>
      <c r="F357" s="153">
        <f t="shared" si="110"/>
        <v>17.28623049342146</v>
      </c>
      <c r="G357" s="153">
        <f t="shared" si="110"/>
        <v>31.324525057718823</v>
      </c>
      <c r="H357" s="153">
        <f t="shared" si="110"/>
        <v>33.78548100652052</v>
      </c>
      <c r="I357" s="153">
        <f t="shared" si="110"/>
        <v>60.583367088905099</v>
      </c>
      <c r="J357" s="153">
        <f t="shared" si="110"/>
        <v>61.469432330653575</v>
      </c>
      <c r="K357" s="153">
        <f t="shared" si="110"/>
        <v>96.354551310784572</v>
      </c>
      <c r="L357" s="153"/>
      <c r="M357" s="153"/>
      <c r="N357" s="48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</row>
    <row r="358" spans="2:33" hidden="1" x14ac:dyDescent="0.2">
      <c r="B358" s="4">
        <v>4</v>
      </c>
      <c r="C358" s="153">
        <f t="shared" si="110"/>
        <v>8.5845419583644009</v>
      </c>
      <c r="D358" s="153">
        <f t="shared" si="110"/>
        <v>13.779745320006054</v>
      </c>
      <c r="E358" s="153">
        <f t="shared" si="110"/>
        <v>15.971568489614889</v>
      </c>
      <c r="F358" s="153">
        <f t="shared" si="110"/>
        <v>19.426718668396326</v>
      </c>
      <c r="G358" s="153">
        <f t="shared" si="110"/>
        <v>35.728343764175946</v>
      </c>
      <c r="H358" s="153">
        <f t="shared" si="110"/>
        <v>37.205976797658039</v>
      </c>
      <c r="I358" s="153">
        <f t="shared" si="110"/>
        <v>66.31770729784499</v>
      </c>
      <c r="J358" s="153">
        <f t="shared" si="110"/>
        <v>69.815581730064963</v>
      </c>
      <c r="K358" s="153">
        <f t="shared" si="110"/>
        <v>111.6807025772966</v>
      </c>
      <c r="L358" s="153"/>
      <c r="M358" s="153"/>
      <c r="N358" s="48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</row>
    <row r="359" spans="2:33" hidden="1" x14ac:dyDescent="0.2">
      <c r="B359" s="4">
        <v>5</v>
      </c>
      <c r="C359" s="153">
        <f t="shared" si="110"/>
        <v>9.3742033064665211</v>
      </c>
      <c r="D359" s="153">
        <f t="shared" si="110"/>
        <v>15.484152715921011</v>
      </c>
      <c r="E359" s="153">
        <f t="shared" si="110"/>
        <v>17.998594044945708</v>
      </c>
      <c r="F359" s="153">
        <f t="shared" si="110"/>
        <v>21.537769477683689</v>
      </c>
      <c r="G359" s="153">
        <f t="shared" si="110"/>
        <v>40.054518042787585</v>
      </c>
      <c r="H359" s="153">
        <f t="shared" si="110"/>
        <v>40.578468077318917</v>
      </c>
      <c r="I359" s="153">
        <f t="shared" si="110"/>
        <v>71.824177990281825</v>
      </c>
      <c r="J359" s="153">
        <f t="shared" si="110"/>
        <v>78.026697341918961</v>
      </c>
      <c r="K359" s="153">
        <f t="shared" si="110"/>
        <v>126.7165312005603</v>
      </c>
      <c r="L359" s="153"/>
      <c r="M359" s="153"/>
      <c r="N359" s="48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</row>
    <row r="360" spans="2:33" hidden="1" x14ac:dyDescent="0.2">
      <c r="B360" s="4">
        <v>6</v>
      </c>
      <c r="C360" s="153">
        <f t="shared" si="110"/>
        <v>10.154623279732682</v>
      </c>
      <c r="D360" s="153">
        <f t="shared" si="110"/>
        <v>17.15986543198003</v>
      </c>
      <c r="E360" s="153"/>
      <c r="F360" s="153">
        <f t="shared" si="110"/>
        <v>23.619408240118712</v>
      </c>
      <c r="G360" s="153">
        <f t="shared" si="110"/>
        <v>44.306845718828782</v>
      </c>
      <c r="H360" s="153">
        <f t="shared" si="110"/>
        <v>43.902980164338317</v>
      </c>
      <c r="I360" s="153">
        <f t="shared" si="110"/>
        <v>77.102779166215612</v>
      </c>
      <c r="J360" s="153">
        <f t="shared" si="110"/>
        <v>86.102779166215612</v>
      </c>
      <c r="K360" s="153">
        <f t="shared" si="110"/>
        <v>141.46963283112575</v>
      </c>
      <c r="L360" s="153"/>
      <c r="M360" s="153"/>
      <c r="N360" s="48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</row>
    <row r="361" spans="2:33" hidden="1" x14ac:dyDescent="0.2">
      <c r="B361" s="4">
        <v>7</v>
      </c>
      <c r="C361" s="153">
        <f t="shared" si="110"/>
        <v>10.926485486712398</v>
      </c>
      <c r="D361" s="153">
        <f t="shared" si="110"/>
        <v>18.80789622158979</v>
      </c>
      <c r="E361" s="153"/>
      <c r="F361" s="153">
        <f t="shared" si="110"/>
        <v>25.671660274536563</v>
      </c>
      <c r="G361" s="153">
        <f t="shared" si="110"/>
        <v>48.48912461757461</v>
      </c>
      <c r="H361" s="153">
        <f t="shared" si="110"/>
        <v>47.17953837755141</v>
      </c>
      <c r="I361" s="153">
        <f t="shared" si="110"/>
        <v>82.15351082564635</v>
      </c>
      <c r="J361" s="153">
        <f t="shared" si="110"/>
        <v>94.043827202954887</v>
      </c>
      <c r="K361" s="153">
        <f t="shared" si="110"/>
        <v>155.94760311954309</v>
      </c>
      <c r="L361" s="153"/>
      <c r="M361" s="153"/>
      <c r="N361" s="48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</row>
    <row r="362" spans="2:33" hidden="1" x14ac:dyDescent="0.2">
      <c r="B362" s="4">
        <v>8</v>
      </c>
      <c r="C362" s="153">
        <f t="shared" si="110"/>
        <v>11.690473535955171</v>
      </c>
      <c r="D362" s="153">
        <f t="shared" si="110"/>
        <v>20.429257838156971</v>
      </c>
      <c r="E362" s="153"/>
      <c r="F362" s="153">
        <f t="shared" si="110"/>
        <v>27.694550899772413</v>
      </c>
      <c r="G362" s="153"/>
      <c r="H362" s="153">
        <f t="shared" si="110"/>
        <v>50.408168035793366</v>
      </c>
      <c r="I362" s="153"/>
      <c r="J362" s="153">
        <f t="shared" si="110"/>
        <v>101.84984145213683</v>
      </c>
      <c r="K362" s="153">
        <f t="shared" si="110"/>
        <v>27.30089485921955</v>
      </c>
      <c r="L362" s="153"/>
      <c r="M362" s="153"/>
      <c r="N362" s="48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</row>
    <row r="363" spans="2:33" hidden="1" x14ac:dyDescent="0.2">
      <c r="B363" s="4">
        <v>9</v>
      </c>
      <c r="C363" s="153">
        <f t="shared" si="110"/>
        <v>12.447271036010518</v>
      </c>
      <c r="D363" s="153"/>
      <c r="E363" s="153"/>
      <c r="F363" s="153">
        <f t="shared" si="110"/>
        <v>29.688105434661423</v>
      </c>
      <c r="G363" s="153"/>
      <c r="H363" s="153">
        <f t="shared" si="110"/>
        <v>53.588894457899343</v>
      </c>
      <c r="I363" s="153"/>
      <c r="J363" s="153">
        <f t="shared" si="110"/>
        <v>109.52082191376138</v>
      </c>
      <c r="K363" s="153"/>
      <c r="L363" s="153"/>
      <c r="M363" s="153"/>
      <c r="N363" s="48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</row>
    <row r="364" spans="2:33" hidden="1" x14ac:dyDescent="0.2">
      <c r="B364" s="4">
        <v>10</v>
      </c>
      <c r="C364" s="153">
        <f t="shared" si="110"/>
        <v>13.197561595427944</v>
      </c>
      <c r="D364" s="153"/>
      <c r="E364" s="153"/>
      <c r="F364" s="153">
        <f t="shared" si="110"/>
        <v>31.652349198038767</v>
      </c>
      <c r="G364" s="153"/>
      <c r="H364" s="153">
        <f t="shared" si="110"/>
        <v>56.721742962704511</v>
      </c>
      <c r="I364" s="153"/>
      <c r="J364" s="153">
        <f t="shared" si="110"/>
        <v>117.05676858782857</v>
      </c>
      <c r="K364" s="153"/>
      <c r="L364" s="153"/>
      <c r="M364" s="153"/>
      <c r="N364" s="48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</row>
    <row r="365" spans="2:33" hidden="1" x14ac:dyDescent="0.2">
      <c r="B365" s="4">
        <v>11</v>
      </c>
      <c r="C365" s="153">
        <f t="shared" si="110"/>
        <v>13.942028822756956</v>
      </c>
      <c r="D365" s="153"/>
      <c r="E365" s="153"/>
      <c r="F365" s="153">
        <f t="shared" si="110"/>
        <v>33.587307508739606</v>
      </c>
      <c r="G365" s="153"/>
      <c r="H365" s="153">
        <f t="shared" si="110"/>
        <v>59.806738869044032</v>
      </c>
      <c r="I365" s="153"/>
      <c r="J365" s="153">
        <f t="shared" si="110"/>
        <v>124.4576814743384</v>
      </c>
      <c r="K365" s="153"/>
      <c r="L365" s="153"/>
      <c r="M365" s="153"/>
      <c r="N365" s="48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</row>
    <row r="366" spans="2:33" hidden="1" x14ac:dyDescent="0.2">
      <c r="B366" s="4">
        <v>12</v>
      </c>
      <c r="C366" s="153">
        <f t="shared" si="110"/>
        <v>14.681356326547069</v>
      </c>
      <c r="D366" s="153"/>
      <c r="E366" s="153"/>
      <c r="F366" s="153">
        <f t="shared" si="110"/>
        <v>35.493005685599101</v>
      </c>
      <c r="G366" s="153"/>
      <c r="H366" s="153">
        <f t="shared" si="110"/>
        <v>62.843907495753086</v>
      </c>
      <c r="I366" s="153"/>
      <c r="J366" s="153">
        <f t="shared" si="110"/>
        <v>131.72356057329088</v>
      </c>
      <c r="K366" s="153"/>
      <c r="L366" s="153"/>
      <c r="M366" s="153"/>
      <c r="N366" s="48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</row>
    <row r="367" spans="2:33" hidden="1" x14ac:dyDescent="0.2"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</row>
    <row r="368" spans="2:33" hidden="1" x14ac:dyDescent="0.2"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</row>
    <row r="369" spans="2:33" hidden="1" x14ac:dyDescent="0.2"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</row>
    <row r="370" spans="2:33" hidden="1" x14ac:dyDescent="0.2"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</row>
    <row r="371" spans="2:33" hidden="1" x14ac:dyDescent="0.2"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</row>
    <row r="372" spans="2:33" hidden="1" x14ac:dyDescent="0.2">
      <c r="B372" s="157" t="s">
        <v>150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</row>
    <row r="373" spans="2:33" hidden="1" x14ac:dyDescent="0.2">
      <c r="B373" s="4" t="s">
        <v>104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</row>
    <row r="374" spans="2:33" hidden="1" x14ac:dyDescent="0.2">
      <c r="B374" s="4">
        <v>0</v>
      </c>
      <c r="C374" s="49">
        <v>0</v>
      </c>
      <c r="D374" s="49">
        <v>0</v>
      </c>
      <c r="E374" s="49">
        <v>0</v>
      </c>
      <c r="F374" s="49">
        <v>0</v>
      </c>
      <c r="G374" s="49">
        <v>0</v>
      </c>
      <c r="H374" s="49">
        <v>0</v>
      </c>
      <c r="I374" s="49">
        <v>0</v>
      </c>
      <c r="J374" s="49">
        <v>0</v>
      </c>
      <c r="K374" s="49">
        <v>0</v>
      </c>
      <c r="L374" s="49"/>
      <c r="M374" s="49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</row>
    <row r="375" spans="2:33" hidden="1" x14ac:dyDescent="0.2">
      <c r="B375" s="4">
        <v>1</v>
      </c>
      <c r="C375" s="49">
        <f>C355/C$22</f>
        <v>132.21062593300789</v>
      </c>
      <c r="D375" s="49">
        <f t="shared" ref="D375:K375" si="111">D355/D$22</f>
        <v>101.26847459045796</v>
      </c>
      <c r="E375" s="49">
        <f t="shared" si="111"/>
        <v>84.24174223099233</v>
      </c>
      <c r="F375" s="49">
        <f t="shared" si="111"/>
        <v>62.577956995960719</v>
      </c>
      <c r="G375" s="49">
        <f t="shared" si="111"/>
        <v>70.52879498706038</v>
      </c>
      <c r="H375" s="49">
        <f t="shared" si="111"/>
        <v>37.856637521446466</v>
      </c>
      <c r="I375" s="49">
        <f t="shared" si="111"/>
        <v>42.947278101563057</v>
      </c>
      <c r="J375" s="49">
        <f t="shared" si="111"/>
        <v>24.09200470626125</v>
      </c>
      <c r="K375" s="49">
        <f t="shared" si="111"/>
        <v>25.517661959053065</v>
      </c>
      <c r="L375" s="49"/>
      <c r="M375" s="49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</row>
    <row r="376" spans="2:33" hidden="1" x14ac:dyDescent="0.2">
      <c r="B376" s="4">
        <v>2</v>
      </c>
      <c r="C376" s="49">
        <f t="shared" ref="C376:K376" si="112">C356/C$22</f>
        <v>151.64871682075466</v>
      </c>
      <c r="D376" s="49">
        <f t="shared" si="112"/>
        <v>123.86500572266979</v>
      </c>
      <c r="E376" s="49">
        <f t="shared" si="112"/>
        <v>105.49462099625052</v>
      </c>
      <c r="F376" s="49">
        <f t="shared" si="112"/>
        <v>74.833067494672861</v>
      </c>
      <c r="G376" s="49">
        <f t="shared" si="112"/>
        <v>85.748447597895122</v>
      </c>
      <c r="H376" s="49">
        <f t="shared" si="112"/>
        <v>43.68437375370489</v>
      </c>
      <c r="I376" s="49">
        <f t="shared" si="112"/>
        <v>48.552139878633028</v>
      </c>
      <c r="J376" s="49">
        <f t="shared" si="112"/>
        <v>29.437916190936022</v>
      </c>
      <c r="K376" s="49">
        <f t="shared" si="112"/>
        <v>32.292192700189652</v>
      </c>
      <c r="L376" s="49"/>
      <c r="M376" s="49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</row>
    <row r="377" spans="2:33" hidden="1" x14ac:dyDescent="0.2">
      <c r="B377" s="4">
        <v>3</v>
      </c>
      <c r="C377" s="49">
        <f t="shared" ref="C377:K377" si="113">C357/C$22</f>
        <v>169.23816580166994</v>
      </c>
      <c r="D377" s="49">
        <f t="shared" si="113"/>
        <v>145.1280782027527</v>
      </c>
      <c r="E377" s="49">
        <f t="shared" si="113"/>
        <v>125.02585587096958</v>
      </c>
      <c r="F377" s="49">
        <f t="shared" si="113"/>
        <v>85.575398482284456</v>
      </c>
      <c r="G377" s="49">
        <f t="shared" si="113"/>
        <v>100.07835481699304</v>
      </c>
      <c r="H377" s="49">
        <f t="shared" si="113"/>
        <v>48.682249288934472</v>
      </c>
      <c r="I377" s="49">
        <f t="shared" si="113"/>
        <v>53.851881856804532</v>
      </c>
      <c r="J377" s="49">
        <f t="shared" si="113"/>
        <v>34.149684628140875</v>
      </c>
      <c r="K377" s="49">
        <f t="shared" si="113"/>
        <v>38.541820524313827</v>
      </c>
      <c r="L377" s="49"/>
      <c r="M377" s="49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</row>
    <row r="378" spans="2:33" hidden="1" x14ac:dyDescent="0.2">
      <c r="B378" s="4">
        <v>4</v>
      </c>
      <c r="C378" s="49">
        <f t="shared" ref="C378:K378" si="114">C358/C$22</f>
        <v>186.62047735574785</v>
      </c>
      <c r="D378" s="49">
        <f t="shared" si="114"/>
        <v>166.02102795188017</v>
      </c>
      <c r="E378" s="49">
        <f t="shared" si="114"/>
        <v>143.88800441094494</v>
      </c>
      <c r="F378" s="49">
        <f t="shared" si="114"/>
        <v>96.171874596021411</v>
      </c>
      <c r="G378" s="49">
        <f t="shared" si="114"/>
        <v>114.1480631443321</v>
      </c>
      <c r="H378" s="49">
        <f t="shared" si="114"/>
        <v>53.610917575876144</v>
      </c>
      <c r="I378" s="49">
        <f t="shared" si="114"/>
        <v>58.949073153639993</v>
      </c>
      <c r="J378" s="49">
        <f t="shared" si="114"/>
        <v>38.786434294480536</v>
      </c>
      <c r="K378" s="49">
        <f t="shared" si="114"/>
        <v>44.67228103091864</v>
      </c>
      <c r="L378" s="49"/>
      <c r="M378" s="49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</row>
    <row r="379" spans="2:33" hidden="1" x14ac:dyDescent="0.2">
      <c r="B379" s="4">
        <v>5</v>
      </c>
      <c r="C379" s="49">
        <f t="shared" ref="C379:K379" si="115">C359/C$22</f>
        <v>203.78702840144612</v>
      </c>
      <c r="D379" s="49">
        <f t="shared" si="115"/>
        <v>186.55605681832543</v>
      </c>
      <c r="E379" s="49">
        <f t="shared" si="115"/>
        <v>162.14949590041178</v>
      </c>
      <c r="F379" s="49">
        <f t="shared" si="115"/>
        <v>106.62262117665192</v>
      </c>
      <c r="G379" s="49">
        <f t="shared" si="115"/>
        <v>127.96970620698909</v>
      </c>
      <c r="H379" s="49">
        <f t="shared" si="115"/>
        <v>58.470415097001322</v>
      </c>
      <c r="I379" s="49">
        <f t="shared" si="115"/>
        <v>63.843713769139399</v>
      </c>
      <c r="J379" s="49">
        <f t="shared" si="115"/>
        <v>43.348165189954976</v>
      </c>
      <c r="K379" s="49">
        <f t="shared" si="115"/>
        <v>50.68661248022412</v>
      </c>
      <c r="L379" s="49"/>
      <c r="M379" s="49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</row>
    <row r="380" spans="2:33" hidden="1" x14ac:dyDescent="0.2">
      <c r="B380" s="4">
        <v>6</v>
      </c>
      <c r="C380" s="49">
        <f t="shared" ref="C380:D382" si="116">C360/C$22</f>
        <v>220.75267999418875</v>
      </c>
      <c r="D380" s="49">
        <f t="shared" si="116"/>
        <v>206.7453666503618</v>
      </c>
      <c r="E380" s="49"/>
      <c r="F380" s="49">
        <f t="shared" ref="F380:K380" si="117">F360/F$22</f>
        <v>116.92776356494412</v>
      </c>
      <c r="G380" s="49">
        <f t="shared" si="117"/>
        <v>141.55541763204084</v>
      </c>
      <c r="H380" s="49">
        <f t="shared" si="117"/>
        <v>63.260778334781442</v>
      </c>
      <c r="I380" s="49">
        <f t="shared" si="117"/>
        <v>68.535803703302761</v>
      </c>
      <c r="J380" s="49">
        <f t="shared" si="117"/>
        <v>47.834877314564231</v>
      </c>
      <c r="K380" s="49">
        <f t="shared" si="117"/>
        <v>56.587853132450299</v>
      </c>
      <c r="L380" s="49"/>
      <c r="M380" s="49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</row>
    <row r="381" spans="2:33" hidden="1" x14ac:dyDescent="0.2">
      <c r="B381" s="4">
        <v>7</v>
      </c>
      <c r="C381" s="49">
        <f t="shared" si="116"/>
        <v>237.53229318939995</v>
      </c>
      <c r="D381" s="49">
        <f t="shared" si="116"/>
        <v>226.60115929626252</v>
      </c>
      <c r="E381" s="49"/>
      <c r="F381" s="49">
        <f t="shared" ref="F381:K381" si="118">F361/F$22</f>
        <v>127.08742710166615</v>
      </c>
      <c r="G381" s="49">
        <f t="shared" si="118"/>
        <v>154.91733104656424</v>
      </c>
      <c r="H381" s="49">
        <f t="shared" si="118"/>
        <v>67.982043771687913</v>
      </c>
      <c r="I381" s="49">
        <f t="shared" si="118"/>
        <v>73.025342956130089</v>
      </c>
      <c r="J381" s="49">
        <f t="shared" si="118"/>
        <v>52.246570668308266</v>
      </c>
      <c r="K381" s="49">
        <f t="shared" si="118"/>
        <v>62.379041247817234</v>
      </c>
      <c r="L381" s="49"/>
      <c r="M381" s="49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</row>
    <row r="382" spans="2:33" hidden="1" x14ac:dyDescent="0.2">
      <c r="B382" s="4">
        <v>8</v>
      </c>
      <c r="C382" s="49">
        <f t="shared" si="116"/>
        <v>254.14072904250372</v>
      </c>
      <c r="D382" s="49">
        <f t="shared" si="116"/>
        <v>246.13563660430086</v>
      </c>
      <c r="E382" s="49"/>
      <c r="F382" s="49">
        <f>F362/F$22</f>
        <v>137.1017371275862</v>
      </c>
      <c r="G382" s="49"/>
      <c r="H382" s="49">
        <f>H362/H$22</f>
        <v>72.634247890192171</v>
      </c>
      <c r="I382" s="49"/>
      <c r="J382" s="49">
        <f>J362/J$22</f>
        <v>56.583245251187122</v>
      </c>
      <c r="K382" s="49">
        <f>K362/K$22</f>
        <v>10.92035794368782</v>
      </c>
      <c r="L382" s="49"/>
      <c r="M382" s="49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</row>
    <row r="383" spans="2:33" hidden="1" x14ac:dyDescent="0.2">
      <c r="B383" s="4">
        <v>9</v>
      </c>
      <c r="C383" s="49">
        <f>C363/C$22</f>
        <v>270.59284860892433</v>
      </c>
      <c r="D383" s="49"/>
      <c r="E383" s="49"/>
      <c r="F383" s="49">
        <f>F363/F$22</f>
        <v>146.97081898347238</v>
      </c>
      <c r="G383" s="49"/>
      <c r="H383" s="49">
        <f>H363/H$22</f>
        <v>77.217427172765625</v>
      </c>
      <c r="I383" s="49"/>
      <c r="J383" s="49">
        <f>J363/J$22</f>
        <v>60.844901063200766</v>
      </c>
      <c r="K383" s="49"/>
      <c r="L383" s="49"/>
      <c r="M383" s="49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</row>
    <row r="384" spans="2:33" hidden="1" x14ac:dyDescent="0.2">
      <c r="B384" s="4">
        <v>10</v>
      </c>
      <c r="C384" s="49">
        <f>C364/C$22</f>
        <v>286.90351294408572</v>
      </c>
      <c r="D384" s="49"/>
      <c r="E384" s="49"/>
      <c r="F384" s="49">
        <f>F364/F$22</f>
        <v>156.69479801009288</v>
      </c>
      <c r="G384" s="49"/>
      <c r="H384" s="49">
        <f>H364/H$22</f>
        <v>81.731618101879704</v>
      </c>
      <c r="I384" s="49"/>
      <c r="J384" s="49">
        <f>J364/J$22</f>
        <v>65.03153810434921</v>
      </c>
      <c r="K384" s="49"/>
      <c r="L384" s="49"/>
      <c r="M384" s="49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</row>
    <row r="385" spans="2:33" hidden="1" x14ac:dyDescent="0.2">
      <c r="B385" s="4">
        <v>11</v>
      </c>
      <c r="C385" s="49">
        <f>C365/C$22</f>
        <v>303.0875831034121</v>
      </c>
      <c r="D385" s="49"/>
      <c r="E385" s="49"/>
      <c r="F385" s="49">
        <f>F365/F$22</f>
        <v>166.27379954821586</v>
      </c>
      <c r="G385" s="49"/>
      <c r="H385" s="49">
        <f>H365/H$22</f>
        <v>86.176857160005824</v>
      </c>
      <c r="I385" s="49"/>
      <c r="J385" s="49">
        <f>J365/J$22</f>
        <v>69.14315637463244</v>
      </c>
      <c r="K385" s="49"/>
      <c r="L385" s="49"/>
      <c r="M385" s="49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</row>
    <row r="386" spans="2:33" hidden="1" x14ac:dyDescent="0.2">
      <c r="B386" s="4">
        <v>12</v>
      </c>
      <c r="C386" s="49">
        <f>C366/C$22</f>
        <v>319.15992014232762</v>
      </c>
      <c r="D386" s="49"/>
      <c r="E386" s="49"/>
      <c r="F386" s="49">
        <f>F366/F$22</f>
        <v>175.70794893860941</v>
      </c>
      <c r="G386" s="49"/>
      <c r="H386" s="49">
        <f>H366/H$22</f>
        <v>90.5531808296154</v>
      </c>
      <c r="I386" s="49"/>
      <c r="J386" s="49">
        <f>J366/J$22</f>
        <v>73.179755874050485</v>
      </c>
      <c r="K386" s="49"/>
      <c r="L386" s="49"/>
      <c r="M386" s="49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</row>
    <row r="387" spans="2:33" hidden="1" x14ac:dyDescent="0.2"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</row>
    <row r="388" spans="2:33" hidden="1" x14ac:dyDescent="0.2"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</row>
    <row r="389" spans="2:33" hidden="1" x14ac:dyDescent="0.2"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</row>
    <row r="390" spans="2:33" hidden="1" x14ac:dyDescent="0.2"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</row>
    <row r="391" spans="2:33" hidden="1" x14ac:dyDescent="0.2"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</row>
    <row r="392" spans="2:33" hidden="1" x14ac:dyDescent="0.2">
      <c r="B392" s="157" t="s">
        <v>150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</row>
    <row r="393" spans="2:33" hidden="1" x14ac:dyDescent="0.2">
      <c r="B393" s="4" t="s">
        <v>101</v>
      </c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</row>
    <row r="394" spans="2:33" hidden="1" x14ac:dyDescent="0.2">
      <c r="B394" s="4">
        <v>0</v>
      </c>
      <c r="C394" s="153">
        <f>C214*C$22-C354</f>
        <v>64.400000000000006</v>
      </c>
      <c r="D394" s="153">
        <f t="shared" ref="D394:K394" si="119">D214*D$22-D354</f>
        <v>116.2</v>
      </c>
      <c r="E394" s="153">
        <f t="shared" si="119"/>
        <v>155.4</v>
      </c>
      <c r="F394" s="153">
        <f t="shared" si="119"/>
        <v>202</v>
      </c>
      <c r="G394" s="153">
        <f t="shared" si="119"/>
        <v>313</v>
      </c>
      <c r="H394" s="153">
        <f t="shared" si="119"/>
        <v>520.5</v>
      </c>
      <c r="I394" s="153">
        <f t="shared" si="119"/>
        <v>843.75</v>
      </c>
      <c r="J394" s="153">
        <f t="shared" si="119"/>
        <v>1260</v>
      </c>
      <c r="K394" s="153">
        <f t="shared" si="119"/>
        <v>1750</v>
      </c>
      <c r="L394" s="153"/>
      <c r="M394" s="153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</row>
    <row r="395" spans="2:33" hidden="1" x14ac:dyDescent="0.2">
      <c r="B395" s="4">
        <v>1</v>
      </c>
      <c r="C395" s="153">
        <f t="shared" ref="C395:K406" si="120">C215*C$22-C355</f>
        <v>58.318311207081642</v>
      </c>
      <c r="D395" s="153">
        <f t="shared" si="120"/>
        <v>107.79471660899199</v>
      </c>
      <c r="E395" s="153">
        <f t="shared" si="120"/>
        <v>146.04916661235987</v>
      </c>
      <c r="F395" s="153">
        <f t="shared" si="120"/>
        <v>189.35925268681592</v>
      </c>
      <c r="G395" s="153">
        <f t="shared" si="120"/>
        <v>290.92448716905011</v>
      </c>
      <c r="H395" s="153">
        <f t="shared" si="120"/>
        <v>494.22749356011616</v>
      </c>
      <c r="I395" s="153">
        <f t="shared" si="120"/>
        <v>795.43431213574161</v>
      </c>
      <c r="J395" s="153">
        <f t="shared" si="120"/>
        <v>1216.6343915287298</v>
      </c>
      <c r="K395" s="153">
        <f t="shared" si="120"/>
        <v>1686.2058451023674</v>
      </c>
      <c r="L395" s="153"/>
      <c r="M395" s="153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</row>
    <row r="396" spans="2:33" hidden="1" x14ac:dyDescent="0.2">
      <c r="B396" s="4">
        <v>2</v>
      </c>
      <c r="C396" s="153">
        <f t="shared" si="120"/>
        <v>57.424159026245292</v>
      </c>
      <c r="D396" s="153">
        <f t="shared" si="120"/>
        <v>105.91920452501842</v>
      </c>
      <c r="E396" s="153">
        <f t="shared" si="120"/>
        <v>143.6900970694162</v>
      </c>
      <c r="F396" s="153">
        <f t="shared" si="120"/>
        <v>186.88372036607609</v>
      </c>
      <c r="G396" s="153">
        <f t="shared" si="120"/>
        <v>286.16073590185886</v>
      </c>
      <c r="H396" s="153">
        <f t="shared" si="120"/>
        <v>490.1830446149288</v>
      </c>
      <c r="I396" s="153">
        <f t="shared" si="120"/>
        <v>789.1288426365378</v>
      </c>
      <c r="J396" s="153">
        <f t="shared" si="120"/>
        <v>1207.0117508563151</v>
      </c>
      <c r="K396" s="153">
        <f t="shared" si="120"/>
        <v>1669.2695182495258</v>
      </c>
      <c r="L396" s="153"/>
      <c r="M396" s="153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</row>
    <row r="397" spans="2:33" hidden="1" x14ac:dyDescent="0.2">
      <c r="B397" s="4">
        <v>3</v>
      </c>
      <c r="C397" s="153">
        <f t="shared" si="120"/>
        <v>56.61504437312319</v>
      </c>
      <c r="D397" s="153">
        <f t="shared" si="120"/>
        <v>104.15436950917153</v>
      </c>
      <c r="E397" s="153">
        <f t="shared" si="120"/>
        <v>141.52212999832238</v>
      </c>
      <c r="F397" s="153">
        <f t="shared" si="120"/>
        <v>184.71376950657853</v>
      </c>
      <c r="G397" s="153">
        <f t="shared" si="120"/>
        <v>281.6754749422812</v>
      </c>
      <c r="H397" s="153">
        <f t="shared" si="120"/>
        <v>486.71451899347949</v>
      </c>
      <c r="I397" s="153">
        <f t="shared" si="120"/>
        <v>783.16663291109489</v>
      </c>
      <c r="J397" s="153">
        <f t="shared" si="120"/>
        <v>1198.5305676693465</v>
      </c>
      <c r="K397" s="153">
        <f t="shared" si="120"/>
        <v>1653.6454486892155</v>
      </c>
      <c r="L397" s="153"/>
      <c r="M397" s="153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</row>
    <row r="398" spans="2:33" hidden="1" x14ac:dyDescent="0.2">
      <c r="B398" s="4">
        <v>4</v>
      </c>
      <c r="C398" s="153">
        <f t="shared" si="120"/>
        <v>55.815458041635608</v>
      </c>
      <c r="D398" s="153">
        <f t="shared" si="120"/>
        <v>102.42025467999395</v>
      </c>
      <c r="E398" s="153">
        <f t="shared" si="120"/>
        <v>124.62843151038513</v>
      </c>
      <c r="F398" s="153">
        <f t="shared" si="120"/>
        <v>182.57328133160368</v>
      </c>
      <c r="G398" s="153">
        <f t="shared" si="120"/>
        <v>277.27165623582403</v>
      </c>
      <c r="H398" s="153">
        <f t="shared" si="120"/>
        <v>483.29402320234198</v>
      </c>
      <c r="I398" s="153">
        <f t="shared" si="120"/>
        <v>777.432292702155</v>
      </c>
      <c r="J398" s="153">
        <f t="shared" si="120"/>
        <v>1190.1844182699351</v>
      </c>
      <c r="K398" s="153">
        <f t="shared" si="120"/>
        <v>1638.3192974227034</v>
      </c>
      <c r="L398" s="153"/>
      <c r="M398" s="153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</row>
    <row r="399" spans="2:33" hidden="1" x14ac:dyDescent="0.2">
      <c r="B399" s="4">
        <v>5</v>
      </c>
      <c r="C399" s="153">
        <f t="shared" si="120"/>
        <v>55.025796693533486</v>
      </c>
      <c r="D399" s="153">
        <f t="shared" si="120"/>
        <v>100.71584728407899</v>
      </c>
      <c r="E399" s="153">
        <f t="shared" si="120"/>
        <v>93.001405955054295</v>
      </c>
      <c r="F399" s="153">
        <f t="shared" si="120"/>
        <v>180.4622305223163</v>
      </c>
      <c r="G399" s="153">
        <f t="shared" si="120"/>
        <v>272.94548195721239</v>
      </c>
      <c r="H399" s="153">
        <f t="shared" si="120"/>
        <v>479.92153192268108</v>
      </c>
      <c r="I399" s="153">
        <f t="shared" si="120"/>
        <v>771.92582200971822</v>
      </c>
      <c r="J399" s="153">
        <f t="shared" si="120"/>
        <v>1181.9733026580811</v>
      </c>
      <c r="K399" s="153">
        <f t="shared" si="120"/>
        <v>1623.2834687994398</v>
      </c>
      <c r="L399" s="153"/>
      <c r="M399" s="153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</row>
    <row r="400" spans="2:33" hidden="1" x14ac:dyDescent="0.2">
      <c r="B400" s="4">
        <v>6</v>
      </c>
      <c r="C400" s="153">
        <f t="shared" si="120"/>
        <v>54.245376720267323</v>
      </c>
      <c r="D400" s="153">
        <f t="shared" si="120"/>
        <v>92.400134568019979</v>
      </c>
      <c r="E400" s="153"/>
      <c r="F400" s="153">
        <f t="shared" si="120"/>
        <v>178.3805917598813</v>
      </c>
      <c r="G400" s="153">
        <f t="shared" si="120"/>
        <v>229.56815428117122</v>
      </c>
      <c r="H400" s="153">
        <f t="shared" si="120"/>
        <v>476.59701983566168</v>
      </c>
      <c r="I400" s="153">
        <f t="shared" si="120"/>
        <v>654.14722083378433</v>
      </c>
      <c r="J400" s="153">
        <f t="shared" si="120"/>
        <v>1173.8972208337843</v>
      </c>
      <c r="K400" s="153">
        <f t="shared" si="120"/>
        <v>1383.5303671688744</v>
      </c>
      <c r="L400" s="153"/>
      <c r="M400" s="153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</row>
    <row r="401" spans="2:33" hidden="1" x14ac:dyDescent="0.2">
      <c r="B401" s="4">
        <v>7</v>
      </c>
      <c r="C401" s="153">
        <f t="shared" si="120"/>
        <v>53.473514513287611</v>
      </c>
      <c r="D401" s="153">
        <f t="shared" si="120"/>
        <v>77.472103778410215</v>
      </c>
      <c r="E401" s="153"/>
      <c r="F401" s="153">
        <f t="shared" si="120"/>
        <v>176.32833972546342</v>
      </c>
      <c r="G401" s="153">
        <f t="shared" si="120"/>
        <v>186.26087538242538</v>
      </c>
      <c r="H401" s="153">
        <f t="shared" si="120"/>
        <v>473.32046162244859</v>
      </c>
      <c r="I401" s="153">
        <f t="shared" si="120"/>
        <v>536.59648917435368</v>
      </c>
      <c r="J401" s="153">
        <f t="shared" si="120"/>
        <v>1165.9561727970452</v>
      </c>
      <c r="K401" s="153">
        <f t="shared" si="120"/>
        <v>1144.0523968804569</v>
      </c>
      <c r="L401" s="153"/>
      <c r="M401" s="153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</row>
    <row r="402" spans="2:33" hidden="1" x14ac:dyDescent="0.2">
      <c r="B402" s="4">
        <v>8</v>
      </c>
      <c r="C402" s="153">
        <f t="shared" si="120"/>
        <v>52.709526464044835</v>
      </c>
      <c r="D402" s="153">
        <f t="shared" si="120"/>
        <v>62.570742161843029</v>
      </c>
      <c r="E402" s="153"/>
      <c r="F402" s="153">
        <f t="shared" si="120"/>
        <v>174.30544910022758</v>
      </c>
      <c r="G402" s="153"/>
      <c r="H402" s="153">
        <f t="shared" si="120"/>
        <v>470.09183196420662</v>
      </c>
      <c r="I402" s="153"/>
      <c r="J402" s="153">
        <f t="shared" si="120"/>
        <v>1158.1501585478632</v>
      </c>
      <c r="K402" s="153">
        <f t="shared" si="120"/>
        <v>-27.30089485921955</v>
      </c>
      <c r="L402" s="153"/>
      <c r="M402" s="153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</row>
    <row r="403" spans="2:33" hidden="1" x14ac:dyDescent="0.2">
      <c r="B403" s="4">
        <v>9</v>
      </c>
      <c r="C403" s="153">
        <f t="shared" si="120"/>
        <v>49.324157535418053</v>
      </c>
      <c r="D403" s="153"/>
      <c r="E403" s="153"/>
      <c r="F403" s="153">
        <f t="shared" si="120"/>
        <v>165.09760885105288</v>
      </c>
      <c r="G403" s="153"/>
      <c r="H403" s="153">
        <f t="shared" si="120"/>
        <v>447.08253411352916</v>
      </c>
      <c r="I403" s="153"/>
      <c r="J403" s="153">
        <f t="shared" si="120"/>
        <v>1104.1934638005243</v>
      </c>
      <c r="K403" s="153"/>
      <c r="L403" s="153"/>
      <c r="M403" s="153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</row>
    <row r="404" spans="2:33" hidden="1" x14ac:dyDescent="0.2">
      <c r="B404" s="4">
        <v>10</v>
      </c>
      <c r="C404" s="153">
        <f t="shared" si="120"/>
        <v>43.316724118857778</v>
      </c>
      <c r="D404" s="153"/>
      <c r="E404" s="153"/>
      <c r="F404" s="153">
        <f t="shared" si="120"/>
        <v>148.7047936591041</v>
      </c>
      <c r="G404" s="153"/>
      <c r="H404" s="153">
        <f t="shared" si="120"/>
        <v>404.29254275158121</v>
      </c>
      <c r="I404" s="153"/>
      <c r="J404" s="153">
        <f t="shared" si="120"/>
        <v>1004.0860885550287</v>
      </c>
      <c r="K404" s="153"/>
      <c r="L404" s="153"/>
      <c r="M404" s="153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</row>
    <row r="405" spans="2:33" hidden="1" x14ac:dyDescent="0.2">
      <c r="B405" s="4">
        <v>11</v>
      </c>
      <c r="C405" s="153">
        <f t="shared" si="120"/>
        <v>37.3151140343859</v>
      </c>
      <c r="D405" s="153"/>
      <c r="E405" s="153"/>
      <c r="F405" s="153">
        <f t="shared" si="120"/>
        <v>132.34126391983185</v>
      </c>
      <c r="G405" s="153"/>
      <c r="H405" s="153">
        <f t="shared" si="120"/>
        <v>361.55040398809882</v>
      </c>
      <c r="I405" s="153"/>
      <c r="J405" s="153">
        <f t="shared" si="120"/>
        <v>904.11374709709025</v>
      </c>
      <c r="K405" s="153"/>
      <c r="L405" s="153"/>
      <c r="M405" s="153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</row>
    <row r="406" spans="2:33" hidden="1" x14ac:dyDescent="0.2">
      <c r="B406" s="4">
        <v>12</v>
      </c>
      <c r="C406" s="153">
        <f t="shared" si="120"/>
        <v>31.318643673452932</v>
      </c>
      <c r="D406" s="153"/>
      <c r="E406" s="153"/>
      <c r="F406" s="153">
        <f t="shared" si="120"/>
        <v>116.0069943144009</v>
      </c>
      <c r="G406" s="153"/>
      <c r="H406" s="153">
        <f t="shared" si="120"/>
        <v>318.85609250424693</v>
      </c>
      <c r="I406" s="153"/>
      <c r="J406" s="153">
        <f t="shared" si="120"/>
        <v>804.27643942670909</v>
      </c>
      <c r="K406" s="153"/>
      <c r="L406" s="153"/>
      <c r="M406" s="153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</row>
    <row r="407" spans="2:33" hidden="1" x14ac:dyDescent="0.2"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</row>
    <row r="408" spans="2:33" hidden="1" x14ac:dyDescent="0.2"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</row>
    <row r="409" spans="2:33" hidden="1" x14ac:dyDescent="0.2"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</row>
    <row r="410" spans="2:33" hidden="1" x14ac:dyDescent="0.2"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</row>
    <row r="411" spans="2:33" hidden="1" x14ac:dyDescent="0.2">
      <c r="B411" s="157" t="s">
        <v>156</v>
      </c>
    </row>
    <row r="412" spans="2:33" hidden="1" x14ac:dyDescent="0.2"/>
    <row r="413" spans="2:33" hidden="1" x14ac:dyDescent="0.2"/>
    <row r="414" spans="2:33" hidden="1" x14ac:dyDescent="0.2">
      <c r="B414" s="4">
        <v>0</v>
      </c>
      <c r="C414" s="156">
        <f>(((C$143-C$142)*$B414/C$107)+C$142)*C$55</f>
        <v>0.12659417583502841</v>
      </c>
      <c r="D414" s="156">
        <f t="shared" ref="D414:K426" si="121">(((D$143-D$142)*$B414/D$107)+D$142)*D$55</f>
        <v>0.12659417583502841</v>
      </c>
      <c r="E414" s="156">
        <f t="shared" si="121"/>
        <v>0.16879223444670455</v>
      </c>
      <c r="F414" s="156">
        <f t="shared" si="121"/>
        <v>0.16879223444670455</v>
      </c>
      <c r="G414" s="156">
        <f t="shared" si="121"/>
        <v>0.25318835167005682</v>
      </c>
      <c r="H414" s="156">
        <f t="shared" si="121"/>
        <v>0.25318835167005682</v>
      </c>
      <c r="I414" s="156">
        <f t="shared" si="121"/>
        <v>0.42198058611676137</v>
      </c>
      <c r="J414" s="156">
        <f t="shared" si="121"/>
        <v>0.42198058611676137</v>
      </c>
      <c r="K414" s="156">
        <f t="shared" si="121"/>
        <v>0.50637670334011364</v>
      </c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</row>
    <row r="415" spans="2:33" hidden="1" x14ac:dyDescent="0.2">
      <c r="B415" s="4">
        <v>1</v>
      </c>
      <c r="C415" s="156">
        <f t="shared" ref="C415:C426" si="122">(((C$143-C$142)*$B415/C$107)+C$142)*C$55</f>
        <v>0.16175922467809187</v>
      </c>
      <c r="D415" s="156">
        <f t="shared" si="121"/>
        <v>0.16351747712024503</v>
      </c>
      <c r="E415" s="156">
        <f t="shared" si="121"/>
        <v>0.20255068133604545</v>
      </c>
      <c r="F415" s="156">
        <f t="shared" si="121"/>
        <v>0.21802330282699339</v>
      </c>
      <c r="G415" s="156">
        <f t="shared" si="121"/>
        <v>0.29538641028173296</v>
      </c>
      <c r="H415" s="156">
        <f t="shared" si="121"/>
        <v>0.32703495424049006</v>
      </c>
      <c r="I415" s="156">
        <f t="shared" si="121"/>
        <v>0.47623523290320213</v>
      </c>
      <c r="J415" s="156">
        <f t="shared" si="121"/>
        <v>0.53099223753025804</v>
      </c>
      <c r="K415" s="156">
        <f t="shared" si="121"/>
        <v>0.60282940873823043</v>
      </c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</row>
    <row r="416" spans="2:33" hidden="1" x14ac:dyDescent="0.2">
      <c r="B416" s="4">
        <v>2</v>
      </c>
      <c r="C416" s="156">
        <f t="shared" si="122"/>
        <v>0.19692427352115532</v>
      </c>
      <c r="D416" s="156">
        <f t="shared" si="121"/>
        <v>0.20044077840546165</v>
      </c>
      <c r="E416" s="156">
        <f t="shared" si="121"/>
        <v>0.23630912822538636</v>
      </c>
      <c r="F416" s="156">
        <f t="shared" si="121"/>
        <v>0.26725437120728224</v>
      </c>
      <c r="G416" s="156">
        <f t="shared" si="121"/>
        <v>0.3375844688934091</v>
      </c>
      <c r="H416" s="156">
        <f t="shared" si="121"/>
        <v>0.4008815568109233</v>
      </c>
      <c r="I416" s="156">
        <f t="shared" si="121"/>
        <v>0.5304898796896429</v>
      </c>
      <c r="J416" s="156">
        <f t="shared" si="121"/>
        <v>0.64000388894375482</v>
      </c>
      <c r="K416" s="156">
        <f t="shared" si="121"/>
        <v>0.69928211413634733</v>
      </c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</row>
    <row r="417" spans="2:25" hidden="1" x14ac:dyDescent="0.2">
      <c r="B417" s="4">
        <v>3</v>
      </c>
      <c r="C417" s="156">
        <f t="shared" si="122"/>
        <v>0.23208932236421875</v>
      </c>
      <c r="D417" s="156">
        <f t="shared" si="121"/>
        <v>0.23736407969067827</v>
      </c>
      <c r="E417" s="156">
        <f t="shared" si="121"/>
        <v>0.27006757511472729</v>
      </c>
      <c r="F417" s="156">
        <f t="shared" si="121"/>
        <v>0.31648543958757103</v>
      </c>
      <c r="G417" s="156">
        <f t="shared" si="121"/>
        <v>0.37978252750508523</v>
      </c>
      <c r="H417" s="156">
        <f t="shared" si="121"/>
        <v>0.47472815938135654</v>
      </c>
      <c r="I417" s="156">
        <f t="shared" si="121"/>
        <v>0.58474452647608366</v>
      </c>
      <c r="J417" s="156">
        <f t="shared" si="121"/>
        <v>0.74901554035725137</v>
      </c>
      <c r="K417" s="156">
        <f t="shared" si="121"/>
        <v>0.79573481953446434</v>
      </c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</row>
    <row r="418" spans="2:25" hidden="1" x14ac:dyDescent="0.2">
      <c r="B418" s="4">
        <v>4</v>
      </c>
      <c r="C418" s="156">
        <f t="shared" si="122"/>
        <v>0.26725437120728224</v>
      </c>
      <c r="D418" s="156">
        <f t="shared" si="121"/>
        <v>0.27428738097589489</v>
      </c>
      <c r="E418" s="156">
        <f t="shared" si="121"/>
        <v>0.30382602200406822</v>
      </c>
      <c r="F418" s="156">
        <f t="shared" si="121"/>
        <v>0.36571650796785993</v>
      </c>
      <c r="G418" s="156">
        <f t="shared" si="121"/>
        <v>0.42198058611676137</v>
      </c>
      <c r="H418" s="156">
        <f t="shared" si="121"/>
        <v>0.54857476195178978</v>
      </c>
      <c r="I418" s="156">
        <f t="shared" si="121"/>
        <v>0.63899917326252431</v>
      </c>
      <c r="J418" s="156">
        <f t="shared" si="121"/>
        <v>0.85802719177074827</v>
      </c>
      <c r="K418" s="156">
        <f t="shared" si="121"/>
        <v>0.89218752493258113</v>
      </c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56"/>
      <c r="Y418" s="156"/>
    </row>
    <row r="419" spans="2:25" hidden="1" x14ac:dyDescent="0.2">
      <c r="B419" s="4">
        <v>5</v>
      </c>
      <c r="C419" s="156">
        <f t="shared" si="122"/>
        <v>0.30241942005034567</v>
      </c>
      <c r="D419" s="156">
        <f t="shared" si="121"/>
        <v>0.31121068226111148</v>
      </c>
      <c r="E419" s="156">
        <f t="shared" si="121"/>
        <v>0.3375844688934091</v>
      </c>
      <c r="F419" s="156">
        <f t="shared" si="121"/>
        <v>0.41494757634814861</v>
      </c>
      <c r="G419" s="156">
        <f t="shared" si="121"/>
        <v>0.46417864472843751</v>
      </c>
      <c r="H419" s="156">
        <f t="shared" si="121"/>
        <v>0.62242136452222296</v>
      </c>
      <c r="I419" s="156">
        <f t="shared" si="121"/>
        <v>0.69325382004896519</v>
      </c>
      <c r="J419" s="156">
        <f t="shared" si="121"/>
        <v>0.96703884318424471</v>
      </c>
      <c r="K419" s="156">
        <f t="shared" si="121"/>
        <v>0.98864023033069814</v>
      </c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</row>
    <row r="420" spans="2:25" hidden="1" x14ac:dyDescent="0.2">
      <c r="B420" s="4">
        <v>6</v>
      </c>
      <c r="C420" s="156">
        <f t="shared" si="122"/>
        <v>0.3375844688934091</v>
      </c>
      <c r="D420" s="156">
        <f t="shared" si="121"/>
        <v>0.34813398354632813</v>
      </c>
      <c r="E420" s="156"/>
      <c r="F420" s="156">
        <f t="shared" si="121"/>
        <v>0.46417864472843751</v>
      </c>
      <c r="G420" s="156">
        <f t="shared" si="121"/>
        <v>0.50637670334011364</v>
      </c>
      <c r="H420" s="156">
        <f t="shared" si="121"/>
        <v>0.69626796709265626</v>
      </c>
      <c r="I420" s="156">
        <f t="shared" si="121"/>
        <v>0.74750846683540595</v>
      </c>
      <c r="J420" s="156">
        <f t="shared" si="121"/>
        <v>1.0760504945977414</v>
      </c>
      <c r="K420" s="156">
        <f t="shared" si="121"/>
        <v>1.085092935728815</v>
      </c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56"/>
      <c r="Y420" s="156"/>
    </row>
    <row r="421" spans="2:25" hidden="1" x14ac:dyDescent="0.2">
      <c r="B421" s="4">
        <v>7</v>
      </c>
      <c r="C421" s="156">
        <f t="shared" si="122"/>
        <v>0.37274951773647247</v>
      </c>
      <c r="D421" s="156">
        <f t="shared" si="121"/>
        <v>0.38505728483154478</v>
      </c>
      <c r="E421" s="156"/>
      <c r="F421" s="156">
        <f t="shared" si="121"/>
        <v>0.5134097131087263</v>
      </c>
      <c r="G421" s="156">
        <f t="shared" si="121"/>
        <v>0.54857476195178978</v>
      </c>
      <c r="H421" s="156">
        <f t="shared" si="121"/>
        <v>0.77011456966308955</v>
      </c>
      <c r="I421" s="156">
        <f t="shared" si="121"/>
        <v>0.8017631136218466</v>
      </c>
      <c r="J421" s="156">
        <f t="shared" si="121"/>
        <v>1.185062146011238</v>
      </c>
      <c r="K421" s="156">
        <f t="shared" si="121"/>
        <v>1.1815456411269318</v>
      </c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</row>
    <row r="422" spans="2:25" hidden="1" x14ac:dyDescent="0.2">
      <c r="B422" s="4">
        <v>8</v>
      </c>
      <c r="C422" s="156">
        <f t="shared" si="122"/>
        <v>0.40791456657953606</v>
      </c>
      <c r="D422" s="156">
        <f t="shared" si="121"/>
        <v>0.42198058611676137</v>
      </c>
      <c r="E422" s="156"/>
      <c r="F422" s="156">
        <f t="shared" si="121"/>
        <v>0.5626407814890152</v>
      </c>
      <c r="G422" s="156"/>
      <c r="H422" s="156">
        <f t="shared" si="121"/>
        <v>0.84396117223352274</v>
      </c>
      <c r="I422" s="156"/>
      <c r="J422" s="156">
        <f t="shared" si="121"/>
        <v>1.2940737974247349</v>
      </c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</row>
    <row r="423" spans="2:25" hidden="1" x14ac:dyDescent="0.2">
      <c r="B423" s="4">
        <v>9</v>
      </c>
      <c r="C423" s="156">
        <f t="shared" si="122"/>
        <v>0.44307961542259944</v>
      </c>
      <c r="D423" s="156"/>
      <c r="E423" s="156"/>
      <c r="F423" s="156">
        <f t="shared" si="121"/>
        <v>0.61187184986930399</v>
      </c>
      <c r="G423" s="156"/>
      <c r="H423" s="156">
        <f t="shared" si="121"/>
        <v>0.91780777480395592</v>
      </c>
      <c r="I423" s="156"/>
      <c r="J423" s="156">
        <f t="shared" si="121"/>
        <v>1.4030854488382316</v>
      </c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</row>
    <row r="424" spans="2:25" hidden="1" x14ac:dyDescent="0.2">
      <c r="B424" s="4">
        <v>10</v>
      </c>
      <c r="C424" s="156">
        <f t="shared" si="122"/>
        <v>0.47824466426566292</v>
      </c>
      <c r="D424" s="156"/>
      <c r="E424" s="156"/>
      <c r="F424" s="156">
        <f t="shared" si="121"/>
        <v>0.66110291824959277</v>
      </c>
      <c r="G424" s="156"/>
      <c r="H424" s="156">
        <f t="shared" si="121"/>
        <v>0.99165437737438922</v>
      </c>
      <c r="I424" s="156"/>
      <c r="J424" s="156">
        <f t="shared" si="121"/>
        <v>1.5120971002517281</v>
      </c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56"/>
      <c r="Y424" s="156"/>
    </row>
    <row r="425" spans="2:25" hidden="1" x14ac:dyDescent="0.2">
      <c r="B425" s="4">
        <v>11</v>
      </c>
      <c r="C425" s="156">
        <f t="shared" si="122"/>
        <v>0.5134097131087263</v>
      </c>
      <c r="D425" s="156"/>
      <c r="E425" s="156"/>
      <c r="F425" s="156">
        <f t="shared" si="121"/>
        <v>0.71033398662988179</v>
      </c>
      <c r="G425" s="156"/>
      <c r="H425" s="156">
        <f t="shared" si="121"/>
        <v>1.0655009799448225</v>
      </c>
      <c r="I425" s="156"/>
      <c r="J425" s="156">
        <f t="shared" si="121"/>
        <v>1.6211087516652252</v>
      </c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</row>
    <row r="426" spans="2:25" hidden="1" x14ac:dyDescent="0.2">
      <c r="B426" s="4">
        <v>12</v>
      </c>
      <c r="C426" s="156">
        <f t="shared" si="122"/>
        <v>0.54857476195178978</v>
      </c>
      <c r="D426" s="156"/>
      <c r="E426" s="156"/>
      <c r="F426" s="156">
        <f t="shared" si="121"/>
        <v>0.75956505501017046</v>
      </c>
      <c r="G426" s="156"/>
      <c r="H426" s="156">
        <f t="shared" si="121"/>
        <v>1.1393475825152557</v>
      </c>
      <c r="I426" s="156"/>
      <c r="J426" s="156">
        <f t="shared" si="121"/>
        <v>1.7301204030787216</v>
      </c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56"/>
      <c r="Y426" s="156"/>
    </row>
    <row r="427" spans="2:25" hidden="1" x14ac:dyDescent="0.2"/>
    <row r="428" spans="2:25" hidden="1" x14ac:dyDescent="0.2"/>
    <row r="429" spans="2:25" hidden="1" x14ac:dyDescent="0.2"/>
    <row r="430" spans="2:25" hidden="1" x14ac:dyDescent="0.2"/>
    <row r="431" spans="2:25" hidden="1" x14ac:dyDescent="0.2"/>
    <row r="432" spans="2:25" hidden="1" x14ac:dyDescent="0.2"/>
    <row r="433" hidden="1" x14ac:dyDescent="0.2"/>
    <row r="434" hidden="1" x14ac:dyDescent="0.2"/>
  </sheetData>
  <sheetProtection password="E52C" sheet="1" objects="1" scenarios="1" selectLockedCells="1"/>
  <mergeCells count="17">
    <mergeCell ref="C45:E45"/>
    <mergeCell ref="F45:G45"/>
    <mergeCell ref="H45:I45"/>
    <mergeCell ref="J45:K45"/>
    <mergeCell ref="C36:E36"/>
    <mergeCell ref="F36:G36"/>
    <mergeCell ref="H36:I36"/>
    <mergeCell ref="J36:K36"/>
    <mergeCell ref="L36:M36"/>
    <mergeCell ref="B6:D7"/>
    <mergeCell ref="G6:N7"/>
    <mergeCell ref="C8:D8"/>
    <mergeCell ref="C21:E21"/>
    <mergeCell ref="F21:G21"/>
    <mergeCell ref="H21:I21"/>
    <mergeCell ref="J21:K21"/>
    <mergeCell ref="L21:N21"/>
  </mergeCells>
  <phoneticPr fontId="3" type="noConversion"/>
  <conditionalFormatting sqref="C37:M41 C25:N32 C46:K50">
    <cfRule type="containsText" dxfId="0" priority="6" operator="containsText" text="N/A">
      <formula>NOT(ISERROR(SEARCH("N/A",C25)))</formula>
    </cfRule>
  </conditionalFormatting>
  <dataValidations count="4">
    <dataValidation type="list" showInputMessage="1" showErrorMessage="1" sqref="D9">
      <formula1>$W$1:$W$6</formula1>
    </dataValidation>
    <dataValidation type="list" showInputMessage="1" showErrorMessage="1" sqref="D10">
      <formula1>$W$8:$W$11</formula1>
    </dataValidation>
    <dataValidation type="list" showInputMessage="1" showErrorMessage="1" sqref="D11">
      <formula1>$W$13:$W$16</formula1>
    </dataValidation>
    <dataValidation type="list" allowBlank="1" showInputMessage="1" showErrorMessage="1" sqref="D12:D13">
      <formula1>$Z$18:$Z$19</formula1>
    </dataValidation>
  </dataValidations>
  <hyperlinks>
    <hyperlink ref="C33" location="'100005G1'!B3" tooltip="10/0005 A Duty" display="Graph"/>
    <hyperlink ref="D33" location="'100008G1'!B3" tooltip="10/0008 A Duty" display="Graph"/>
    <hyperlink ref="E33" location="'100011G1'!B3" tooltip="10/0011 A Duty" display="Graph"/>
    <hyperlink ref="F33" location="'200020G1'!B3" tooltip="20/0020 A Duty" display="Graph"/>
    <hyperlink ref="G33" location="'200031G1'!B3" tooltip="20/0031 A Duty" display="Graph"/>
    <hyperlink ref="H33" location="'300069G1'!B3" tooltip="30/0069 A Duty" display="Graph"/>
    <hyperlink ref="I33" location="'300113G1'!B3" tooltip="30/0113 A Duty" display="Graph"/>
    <hyperlink ref="J33" location="'400180G1'!B3" tooltip="40/0180 A Duty" display="Graph"/>
    <hyperlink ref="K33" location="'400250G1'!B3" tooltip="40/0250 A Duty" display="Graph"/>
    <hyperlink ref="L33" location="'500351G1'!B3" tooltip="50/0351 B Duty" display="Graph"/>
    <hyperlink ref="C42" location="'100005G3'!B3" tooltip="10/0005 B Duty" display="Graph"/>
    <hyperlink ref="D42" location="'100008G3'!B3" tooltip="10/0008 B Duty" display="Graph"/>
    <hyperlink ref="E42" location="'100011G3'!B3" tooltip="10/0011 B Duty" display="Graph"/>
    <hyperlink ref="F42" location="'200020G3'!B3" tooltip="20/0020 B Duty" display="Graph"/>
    <hyperlink ref="G42" location="'200031G3'!B3" tooltip="20/0031 B Duty" display="Graph"/>
    <hyperlink ref="H42" location="'300069G3'!B3" tooltip="30/0069 B Duty" display="Graph"/>
    <hyperlink ref="I42" location="'300113G3'!B3" tooltip="30/0113 B Duty" display="Graph"/>
    <hyperlink ref="J42" location="'400180G3'!B3" tooltip="40/0180 B Duty" display="Graph"/>
    <hyperlink ref="K42" location="'400250G3'!B3" tooltip="40/0250 B Duty" display="Graph"/>
    <hyperlink ref="L42" location="'500351G3'!B3" tooltip="50/0351 D Duty" display="Graph"/>
    <hyperlink ref="M42" location="'500525G3'!B3" tooltip="50/0525 D Duty" display="Graph"/>
    <hyperlink ref="C51" location="'100005G5'!B3" tooltip="10/0005 C Duty" display="Graph"/>
    <hyperlink ref="D51" location="'100008G5'!B3" tooltip="10/0008 C Duty" display="Graph"/>
    <hyperlink ref="E51" location="'100011G5'!B3" tooltip="10/0011 C Duty" display="Graph"/>
    <hyperlink ref="F51" location="'200020G5'!B3" tooltip="20/0020 C Duty" display="Graph"/>
    <hyperlink ref="G51" location="'200031G5'!B3" tooltip="20/0031 C Duty" display="Graph"/>
    <hyperlink ref="H51" location="'300069G5'!B3" tooltip="30/0069 C Duty" display="Graph"/>
    <hyperlink ref="I51" location="'300113G5'!B3" tooltip="30/0113 C Duty" display="Graph"/>
    <hyperlink ref="J51" location="'400180G5'!B3" tooltip="40/0180 C Duty" display="Graph"/>
    <hyperlink ref="K51" location="'400250G5'!B3" tooltip="40/0250 C Duty" display="Graph"/>
    <hyperlink ref="M33" location="'500525G1'!B3" tooltip="50/0525 B Duty" display="Graph"/>
    <hyperlink ref="N33" location="'500525G5'!B3" tooltip="50/0525/12 B Duty" display="Graph"/>
    <hyperlink ref="C34" location="'100005G2'!B3" tooltip="10/0005 A Typical" display="Graph"/>
    <hyperlink ref="D34" location="'100008G2'!B3" tooltip="10/0008 A Typical" display="Graph"/>
    <hyperlink ref="E34" location="'100011G2'!B3" tooltip="10/0011 A Typical" display="Graph"/>
    <hyperlink ref="F34" location="'200020G2'!B3" tooltip="20/0020 A Typical" display="Graph"/>
    <hyperlink ref="G34" location="'200031G2'!B3" tooltip="20/0031 A Typical" display="Graph"/>
    <hyperlink ref="H34" location="'300069G2'!B3" tooltip="30/0069 A Typical" display="Graph"/>
    <hyperlink ref="I34" location="'300113G2'!B3" tooltip="30/0113 A Typical" display="Graph"/>
    <hyperlink ref="J34" location="'400180G2'!B3" tooltip="40/0180 A Typical" display="Graph"/>
    <hyperlink ref="K34" location="'400250G2'!B3" tooltip="40/0250 A Typical" display="Graph"/>
    <hyperlink ref="L34" location="'500351G2'!B3" tooltip="50/0351 B Typical" display="Graph"/>
    <hyperlink ref="M34" location="'500525G2'!B3" tooltip="50/0525 B Typical" display="Graph"/>
    <hyperlink ref="N34" location="'500525G6'!B3" tooltip="50/0525/12 B Typical" display="Graph"/>
    <hyperlink ref="C43" location="'100005G4'!B3" tooltip="10/0005 B Typical" display="Graph"/>
    <hyperlink ref="D43" location="'100008G4'!B3" tooltip="10/0008 B Typical" display="Graph"/>
    <hyperlink ref="E43" location="'100011G4'!B3" tooltip="10/0011 B Typical" display="Graph"/>
    <hyperlink ref="F43" location="'200020G4'!B3" tooltip="20/0020 B Typical" display="Graph"/>
    <hyperlink ref="G43" location="'200031G4'!B3" tooltip="20/0031 B Typical" display="Graph"/>
    <hyperlink ref="H43" location="'300069G4'!B3" tooltip="30/0069 B Typical" display="Graph"/>
    <hyperlink ref="I43" location="'300113G4'!B3" tooltip="30/0113 B Typical" display="Graph"/>
    <hyperlink ref="J43" location="'400180G4'!B3" tooltip="40/0180 B Typical" display="Graph"/>
    <hyperlink ref="K43" location="'400250G4'!B3" tooltip="40/0250 B Typical" display="Graph"/>
    <hyperlink ref="L43" location="'500351G4'!B3" tooltip="50/0351 D Typical" display="Graph"/>
    <hyperlink ref="M43" location="'500525G4'!B3" tooltip="50/0525 D Typical" display="Graph"/>
    <hyperlink ref="C52" location="'100005G6'!B3" tooltip="10/0005 C Typical" display="Graph"/>
    <hyperlink ref="D52" location="'100008G6'!B3" tooltip="10/0008 C Typical" display="Graph"/>
    <hyperlink ref="E52" location="'100011G6'!B3" tooltip="10/0011 C Typical" display="Graph"/>
    <hyperlink ref="G52" location="'200031G6'!B3" tooltip="20/0031 C Typical" display="Graph"/>
    <hyperlink ref="H52" location="'300069G6'!B3" tooltip="30/0069 C Typical" display="Graph"/>
    <hyperlink ref="I52" location="'300113G6'!B3" tooltip="30/0113 C Typical" display="Graph"/>
    <hyperlink ref="J52" location="'400180G6'!B3" tooltip="40/0180 C Typical" display="Graph"/>
    <hyperlink ref="K52" location="'400250G6'!B3" tooltip="40/0250 C Typical" display="Graph"/>
    <hyperlink ref="F52" location="'200020G6'!B3" tooltip="Graph" display="Graph"/>
  </hyperlinks>
  <pageMargins left="0.19685039370078741" right="0" top="0.39370078740157483" bottom="0.39370078740157483" header="0.51181102362204722" footer="0.51181102362204722"/>
  <pageSetup paperSize="9" scale="86" orientation="landscape"/>
  <headerFooter alignWithMargins="0"/>
  <cellWatches>
    <cellWatch r="D9"/>
  </cellWatches>
  <ignoredErrors>
    <ignoredError sqref="G154 H154" formula="1"/>
  </ignoredError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CONCATENATE('MP-CP'!D20," - Rotor Class B" )</f>
        <v>A0025 - Rotor Class B</v>
      </c>
      <c r="F2" s="233"/>
      <c r="G2" s="233"/>
      <c r="H2" s="233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'MP-CP'!D104-(P4/'MP-CP'!D22)</f>
        <v>161.79828720671048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818 rpm, 1.6hp and 8.6ft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('MP-CP'!D104*'MP-CP'!D22)-'MP-CP'!D80</f>
        <v>69.570742161843029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('MP-CP'!D106*'MP-CP'!D22)-'MP-CP'!D82</f>
        <v>105.62446738815541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IF('MP-CP'!D37="N/A","N/A",ROUND('MP-CP'!D37,0))</f>
        <v>818</v>
      </c>
      <c r="P6" s="141">
        <f>IF('MP-CP'!D37="N/A","N/A",'MP-CP'!X17)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IF('MP-CP'!D37="N/A",0,'MP-CP'!D108-(P8/'MP-CP'!D22))</f>
        <v>23.382554369143463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IF('MP-CP'!D37="N/A",0,'MP-CP'!D108)</f>
        <v>1400</v>
      </c>
      <c r="P8" s="141">
        <f>IF('MP-CP'!D37="N/A","N/A",('MP-CP'!D108*'MP-CP'!D22)-'MP-CP'!D70)</f>
        <v>114.25924798736111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818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ROUND('MP-CP'!D40,1)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'MP-CP'!D314</f>
        <v>116.2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","N/A",'MP-CP'!D295)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","N/A",'MP-CP'!D296)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","N/A",'MP-CP'!D316)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145</v>
      </c>
      <c r="O33" s="169">
        <v>0</v>
      </c>
      <c r="P33" s="171">
        <v>0</v>
      </c>
      <c r="Q33" s="169" t="str">
        <f>IF(N34=" ","N/A",'MP-CP'!D298)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","N/A",'MP-CP'!D318)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147</v>
      </c>
      <c r="O35" s="169">
        <v>0</v>
      </c>
      <c r="P35" s="171">
        <v>0</v>
      </c>
      <c r="Q35" s="169" t="str">
        <f>IF(N36=" ","N/A",'MP-CP'!D300)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","N/A",'MP-CP'!D320)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146</v>
      </c>
      <c r="O37" s="169">
        <v>0</v>
      </c>
      <c r="P37" s="171">
        <v>0</v>
      </c>
      <c r="Q37" s="169">
        <f>IF(N38=" ","N/A",'MP-CP'!D302)</f>
        <v>161.79828720671048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",'MP-CP'!D322)</f>
        <v>69.570742161843029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818</v>
      </c>
      <c r="P41" s="170">
        <f>ROUND('MP-CP'!D38,1)</f>
        <v>1.6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'MP-CP'!D97</f>
        <v>2.6220663410681961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CONCATENATE('MP-CP'!D20," - Rotor Class B" )</f>
        <v>A0025 -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'MP-CP'!D104-(P4/'MP-CP'!D22)</f>
        <v>161.79828720671048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('MP-CP'!D104*'MP-CP'!D22)-'MP-CP'!D80</f>
        <v>69.570742161843029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('MP-CP'!D106*'MP-CP'!D22)-'MP-CP'!D82</f>
        <v>105.62446738815541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IF('MP-CP'!D37="N/A","N/A",ROUND('MP-CP'!D37,0))</f>
        <v>818</v>
      </c>
      <c r="P6" s="141">
        <f>IF('MP-CP'!D37="N/A","N/A",'MP-CP'!X17)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IF('MP-CP'!D37="N/A",0,'MP-CP'!D108-(P8/'MP-CP'!D22))</f>
        <v>23.382554369143463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IF('MP-CP'!D37="N/A",0,'MP-CP'!D108)</f>
        <v>1400</v>
      </c>
      <c r="P8" s="141">
        <f>IF('MP-CP'!D37="N/A","N/A",('MP-CP'!D108*'MP-CP'!D22)-'MP-CP'!D70)</f>
        <v>114.25924798736111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818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ROUND('MP-CP'!D40,1)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'MP-CP'!D314</f>
        <v>116.2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","N/A",'MP-CP'!D295)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","N/A",'MP-CP'!D296)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145</v>
      </c>
      <c r="O33" s="169">
        <v>0</v>
      </c>
      <c r="P33" s="171">
        <v>0</v>
      </c>
      <c r="Q33" s="169" t="str">
        <f>IF(N34=" ","N/A",'MP-CP'!D298)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","N/A",'MP-CP'!D318)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147</v>
      </c>
      <c r="O35" s="169">
        <v>0</v>
      </c>
      <c r="P35" s="171">
        <v>0</v>
      </c>
      <c r="Q35" s="169" t="str">
        <f>IF(N36=" ","N/A",'MP-CP'!D300)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","N/A",'MP-CP'!D320)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146</v>
      </c>
      <c r="O37" s="169">
        <v>0</v>
      </c>
      <c r="P37" s="171">
        <v>0</v>
      </c>
      <c r="Q37" s="169">
        <f>IF(N38=" ","N/A",'MP-CP'!D302)</f>
        <v>161.79828720671048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",'MP-CP'!D322)</f>
        <v>69.570742161843029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818</v>
      </c>
      <c r="P41" s="170">
        <f>ROUND('MP-CP'!D38,1)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'MP-CP'!D96</f>
        <v>2.6142592358143673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CONCATENATE('MP-CP'!D20," - Rotor Class C" )</f>
        <v>A0025 - Rotor Class C</v>
      </c>
      <c r="F2" s="233"/>
      <c r="G2" s="233"/>
      <c r="H2" s="233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'MP-CP'!D104-(P4/'MP-CP'!D22)</f>
        <v>246.13563660430088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820 rpm, 1.6hp and 8.6ft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('MP-CP'!D104*'MP-CP'!D22)-'MP-CP'!D83</f>
        <v>62.570742161843029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('MP-CP'!D106*'MP-CP'!D22)-'MP-CP'!D85</f>
        <v>99.874467388155409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IF('MP-CP'!D46="N/A","N/A",ROUND('MP-CP'!D46,0))</f>
        <v>820</v>
      </c>
      <c r="P6" s="141">
        <f>IF('MP-CP'!D46="N/A","N/A",'MP-CP'!X17)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IF('MP-CP'!D46="N/A",0,'MP-CP'!D108-(P8/'MP-CP'!D22))</f>
        <v>25.797503506558542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IF('MP-CP'!D46="N/A",0,'MP-CP'!D108)</f>
        <v>1400</v>
      </c>
      <c r="P8" s="141">
        <f>IF('MP-CP'!D46="N/A","N/A",('MP-CP'!D108*'MP-CP'!D22)-'MP-CP'!D71)</f>
        <v>114.05880720895564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820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ROUND('MP-CP'!D49,1)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'MP-CP'!D394</f>
        <v>116.2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","N/A",'MP-CP'!D375)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","N/A",'MP-CP'!D376)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","N/A",'MP-CP'!D396)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145</v>
      </c>
      <c r="O33" s="169">
        <v>0</v>
      </c>
      <c r="P33" s="171">
        <v>0</v>
      </c>
      <c r="Q33" s="169" t="str">
        <f>IF(N34=" ","N/A",'MP-CP'!D378)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","N/A",'MP-CP'!D398)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147</v>
      </c>
      <c r="O35" s="169">
        <v>0</v>
      </c>
      <c r="P35" s="171">
        <v>0</v>
      </c>
      <c r="Q35" s="169" t="str">
        <f>IF(N36=" ","N/A",'MP-CP'!D380)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","N/A",'MP-CP'!D400)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146</v>
      </c>
      <c r="O37" s="169">
        <v>0</v>
      </c>
      <c r="P37" s="171">
        <v>0</v>
      </c>
      <c r="Q37" s="169">
        <f>IF(N38=" ","N/A",'MP-CP'!D382)</f>
        <v>246.13563660430086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",'MP-CP'!D402)</f>
        <v>62.570742161843029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820</v>
      </c>
      <c r="P41" s="170">
        <f>ROUND('MP-CP'!D47,1)</f>
        <v>1.6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'MP-CP'!D98</f>
        <v>2.6277861541779868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CONCATENATE('MP-CP'!D20," - Rotor Class C" )</f>
        <v>A0025 -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'MP-CP'!D104-(P4/'MP-CP'!D22)</f>
        <v>246.13563660430088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('MP-CP'!D104*'MP-CP'!D22)-'MP-CP'!D83</f>
        <v>62.570742161843029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('MP-CP'!D106*'MP-CP'!D22)-'MP-CP'!D85</f>
        <v>99.874467388155409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IF('MP-CP'!D46="N/A","N/A",ROUND('MP-CP'!D46,0))</f>
        <v>820</v>
      </c>
      <c r="P6" s="141">
        <f>IF('MP-CP'!D46="N/A","N/A",'MP-CP'!X17)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IF('MP-CP'!D46="N/A",0,'MP-CP'!D108-(P8/'MP-CP'!D22))</f>
        <v>25.797503506558542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IF('MP-CP'!D46="N/A",0,'MP-CP'!D108)</f>
        <v>1400</v>
      </c>
      <c r="P8" s="141">
        <f>IF('MP-CP'!D46="N/A","N/A",('MP-CP'!D108*'MP-CP'!D22)-'MP-CP'!D71)</f>
        <v>114.05880720895564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820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ROUND('MP-CP'!D49,1)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'MP-CP'!D394</f>
        <v>116.2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","N/A",'MP-CP'!D375)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","N/A",'MP-CP'!D376)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145</v>
      </c>
      <c r="O33" s="169">
        <v>0</v>
      </c>
      <c r="P33" s="171">
        <v>0</v>
      </c>
      <c r="Q33" s="169" t="str">
        <f>IF(N34=" ","N/A",'MP-CP'!D378)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","N/A",'MP-CP'!D398)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147</v>
      </c>
      <c r="O35" s="169">
        <v>0</v>
      </c>
      <c r="P35" s="171">
        <v>0</v>
      </c>
      <c r="Q35" s="169" t="str">
        <f>IF(N36=" ","N/A",'MP-CP'!D380)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","N/A",'MP-CP'!D400)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146</v>
      </c>
      <c r="O37" s="169">
        <v>0</v>
      </c>
      <c r="P37" s="171">
        <v>0</v>
      </c>
      <c r="Q37" s="169">
        <f>IF(N38=" ","N/A",'MP-CP'!D382)</f>
        <v>246.13563660430086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",'MP-CP'!D402)</f>
        <v>62.570742161843029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820</v>
      </c>
      <c r="P41" s="170">
        <f>ROUND('MP-CP'!D47,1)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'MP-CP'!D96</f>
        <v>2.6142592358143673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CONCATENATE('MP-CP'!E20," Rotor Class A" )</f>
        <v>A0030 Rotor Class A</v>
      </c>
      <c r="F2" s="233"/>
      <c r="G2" s="233"/>
      <c r="H2" s="233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'MP-CP'!E104-(P4/'MP-CP'!E22)</f>
        <v>27.014360765276592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618 rpm, 1.6hp and 8.3ft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('MP-CP'!E104*'MP-CP'!E22)-'MP-CP'!E78</f>
        <v>108.0014059550543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('MP-CP'!E106*'MP-CP'!E22)-'MP-CP'!E79</f>
        <v>152.76647190961856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IF('MP-CP'!E25="N/A","N/A",ROUND('MP-CP'!E25,0))</f>
        <v>618</v>
      </c>
      <c r="P6" s="141">
        <f>IF('MP-CP'!E25="N/A","N/A",'MP-CP'!X17)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IF('MP-CP'!E25="N/A",0,'MP-CP'!E108-(P8/'MP-CP'!E22))</f>
        <v>23.725478291724812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IF('MP-CP'!E25="N/A",0,'MP-CP'!E108)</f>
        <v>1400</v>
      </c>
      <c r="P8" s="141">
        <f>IF('MP-CP'!E25="N/A","N/A",('MP-CP'!E108*'MP-CP'!E22)-'MP-CP'!E69)</f>
        <v>152.76647190961856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618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ROUND('MP-CP'!E28,1)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'MP-CP'!E194</f>
        <v>155.4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","N/A",'MP-CP'!E175)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","N/A",'MP-CP'!E176)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","N/A",'MP-CP'!E177)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","N/A",'MP-CP'!E197)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145</v>
      </c>
      <c r="O35" s="169">
        <v>0</v>
      </c>
      <c r="P35" s="171">
        <v>0</v>
      </c>
      <c r="Q35" s="169" t="str">
        <f>IF(N36=" ","N/A",'MP-CP'!E178)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","N/A",'MP-CP'!E198)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139</v>
      </c>
      <c r="O37" s="169">
        <v>0</v>
      </c>
      <c r="P37" s="171">
        <v>0</v>
      </c>
      <c r="Q37" s="169" t="str">
        <f>IF(N38=" ","N/A",'MP-CP'!E179)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IF('MP-CP'!X19&lt;O18,"5 / 75"," ")</f>
        <v xml:space="preserve"> 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 t="str">
        <f>IF(N38=" ","N/A ",'MP-CP'!E199)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","N/A",'MP-CP'!E180)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'MP-CP'!E226</f>
        <v>0</v>
      </c>
      <c r="P40" s="171">
        <f>'MP-CP'!E246</f>
        <v>0</v>
      </c>
      <c r="Q40" s="169">
        <f>O40</f>
        <v>0</v>
      </c>
      <c r="R40" s="170">
        <f>IF(N40=" ","N/A",'MP-CP'!E200)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618</v>
      </c>
      <c r="P41" s="170">
        <f>ROUND('MP-CP'!E26,1)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'MP-CP'!E96</f>
        <v>2.525437592759773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CONCATENATE('MP-CP'!E20," - Rotor Class A" )</f>
        <v>A0030 -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68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'MP-CP'!E104-(P4/'MP-CP'!E22)</f>
        <v>27.014360765276592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('MP-CP'!E104*'MP-CP'!E22)-'MP-CP'!E78</f>
        <v>108.0014059550543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('MP-CP'!E106*'MP-CP'!E22)-'MP-CP'!E79</f>
        <v>152.76647190961856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IF('MP-CP'!E25="N/A","N/A",ROUND('MP-CP'!E25,0))</f>
        <v>618</v>
      </c>
      <c r="P6" s="141">
        <f>IF('MP-CP'!E25="N/A","N/A",'MP-CP'!X17)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IF('MP-CP'!E25="N/A",0,'MP-CP'!E108-(P8/'MP-CP'!E22))</f>
        <v>23.725478291724812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IF('MP-CP'!E25="N/A",0,'MP-CP'!E108)</f>
        <v>1400</v>
      </c>
      <c r="P8" s="141">
        <f>IF('MP-CP'!E25="N/A","N/A",('MP-CP'!E108*'MP-CP'!E22)-'MP-CP'!E69)</f>
        <v>152.76647190961856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618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ROUND('MP-CP'!E28,1)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4*1.341022</f>
        <v>5.3640879999999997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'MP-CP'!E194</f>
        <v>155.4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","N/A",'MP-CP'!E175)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","N/A",'MP-CP'!E176)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","N/A",'MP-CP'!E177)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","N/A",'MP-CP'!E197)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145</v>
      </c>
      <c r="O35" s="169">
        <v>0</v>
      </c>
      <c r="P35" s="171">
        <v>0</v>
      </c>
      <c r="Q35" s="169" t="str">
        <f>IF(N36=" ","N/A",'MP-CP'!E178)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","N/A",'MP-CP'!E198)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139</v>
      </c>
      <c r="O37" s="169">
        <v>0</v>
      </c>
      <c r="P37" s="171">
        <v>0</v>
      </c>
      <c r="Q37" s="169">
        <f>IF(N38=" ","N/A",'MP-CP'!E179)</f>
        <v>27.014360765276638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IF('MP-CP'!X19&lt;O21,"5 / 75"," ")</f>
        <v>5 / 75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>
        <f>IF(N38=" ","N/A ",'MP-CP'!E199)</f>
        <v>108.0014059550543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","N/A",'MP-CP'!E180)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'MP-CP'!E226</f>
        <v>0</v>
      </c>
      <c r="P40" s="171">
        <f>'MP-CP'!E246</f>
        <v>0</v>
      </c>
      <c r="Q40" s="169">
        <f>O40</f>
        <v>0</v>
      </c>
      <c r="R40" s="170">
        <f>IF(N40=" ","N/A",'MP-CP'!E200)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618</v>
      </c>
      <c r="P41" s="170">
        <f>ROUND('MP-CP'!E26,1)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'MP-CP'!E96</f>
        <v>2.525437592759773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1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CONCATENATE('MP-CP'!E20," - Rotor Class B" )</f>
        <v>A0030 - Rotor Class B</v>
      </c>
      <c r="F2" s="233"/>
      <c r="G2" s="233"/>
      <c r="H2" s="233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'MP-CP'!E104-(P4/'MP-CP'!E22)</f>
        <v>99.086432837348752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620 rpm, 1.6hp and 8.3ft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('MP-CP'!E104*'MP-CP'!E22)-'MP-CP'!E80</f>
        <v>100.0014059550543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('MP-CP'!E106*'MP-CP'!E22)-'MP-CP'!E82</f>
        <v>146.26647190961856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IF('MP-CP'!E37="N/A","N/A",ROUND('MP-CP'!E37,0))</f>
        <v>620</v>
      </c>
      <c r="P6" s="141">
        <f>IF('MP-CP'!E37="N/A","N/A",'MP-CP'!X17)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IF('MP-CP'!E37="N/A",0,'MP-CP'!E108-(P8/'MP-CP'!E22))</f>
        <v>26.196535777994086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IF('MP-CP'!E37="N/A",0,'MP-CP'!E108)</f>
        <v>1400</v>
      </c>
      <c r="P8" s="141">
        <f>IF('MP-CP'!E37="N/A","N/A",('MP-CP'!E108*'MP-CP'!E22)-'MP-CP'!E70)</f>
        <v>152.49218452864267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620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ROUND('MP-CP'!E40,1)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4*1.341022</f>
        <v>5.3640879999999997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'MP-CP'!E314</f>
        <v>155.4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","N/A",'MP-CP'!E295)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","N/A",'MP-CP'!E296)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","N/A",'MP-CP'!E316)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","N/A",'MP-CP'!E297)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","N/A",'MP-CP'!E317)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145</v>
      </c>
      <c r="O35" s="169">
        <v>0</v>
      </c>
      <c r="P35" s="171">
        <v>0</v>
      </c>
      <c r="Q35" s="169" t="str">
        <f>IF(N36=" ","N/A",'MP-CP'!E298)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","N/A",'MP-CP'!E318)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139</v>
      </c>
      <c r="O37" s="169">
        <v>0</v>
      </c>
      <c r="P37" s="171">
        <v>0</v>
      </c>
      <c r="Q37" s="169">
        <f>IF(N38=" ","N/A",'MP-CP'!E299)</f>
        <v>99.08643283734871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IF('MP-CP'!X19&lt;O21,"5 / 75"," ")</f>
        <v>5 / 75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>
        <f>IF(N38=" ","N/A ",'MP-CP'!E319)</f>
        <v>100.0014059550543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","N/A",'MP-CP'!E300)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'MP-CP'!E220</f>
        <v>0</v>
      </c>
      <c r="P40" s="171">
        <f>'MP-CP'!E240</f>
        <v>0</v>
      </c>
      <c r="Q40" s="169">
        <f>O40</f>
        <v>0</v>
      </c>
      <c r="R40" s="170">
        <f>IF(N40=" ","N/A",'MP-CP'!E320)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620</v>
      </c>
      <c r="P41" s="170">
        <f>ROUND('MP-CP'!E26,1)</f>
        <v>1.6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'MP-CP'!E97</f>
        <v>2.5320466944462043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2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CONCATENATE('MP-CP'!E20," - Rotor Class B" )</f>
        <v>A0030 -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68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'MP-CP'!E104-(P4/'MP-CP'!E22)</f>
        <v>99.086432837348752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('MP-CP'!E104*'MP-CP'!E22)-'MP-CP'!E80</f>
        <v>100.0014059550543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('MP-CP'!E106*'MP-CP'!E22)-'MP-CP'!E82</f>
        <v>146.26647190961856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IF('MP-CP'!E37="N/A","N/A",ROUND('MP-CP'!E37,0))</f>
        <v>620</v>
      </c>
      <c r="P6" s="141">
        <f>IF('MP-CP'!E37="N/A","N/A",'MP-CP'!X17)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IF('MP-CP'!E37="N/A",0,'MP-CP'!E108-(P8/'MP-CP'!E22))</f>
        <v>26.196535777994086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IF('MP-CP'!E37="N/A",0,'MP-CP'!E108)</f>
        <v>1400</v>
      </c>
      <c r="P8" s="141">
        <f>IF('MP-CP'!E37="N/A","N/A",('MP-CP'!E108*'MP-CP'!E22)-'MP-CP'!E70)</f>
        <v>152.49218452864267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620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ROUND('MP-CP'!E40,1)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4*1.341022</f>
        <v>5.3640879999999997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'MP-CP'!E314</f>
        <v>155.4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","N/A",'MP-CP'!E295)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","N/A",'MP-CP'!E296)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","N/A",'MP-CP'!E297)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","N/A",'MP-CP'!E317)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145</v>
      </c>
      <c r="O35" s="169">
        <v>0</v>
      </c>
      <c r="P35" s="171">
        <v>0</v>
      </c>
      <c r="Q35" s="169" t="str">
        <f>IF(N36=" ","N/A",'MP-CP'!E298)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","N/A",'MP-CP'!E318)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139</v>
      </c>
      <c r="O37" s="169">
        <v>0</v>
      </c>
      <c r="P37" s="171">
        <v>0</v>
      </c>
      <c r="Q37" s="169">
        <f>IF(N38=" ","N/A",'MP-CP'!E299)</f>
        <v>99.08643283734871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IF('MP-CP'!X19&lt;O21,"5 / 75"," ")</f>
        <v>5 / 75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>
        <f>IF(N38=" ","N/A ",'MP-CP'!E319)</f>
        <v>100.0014059550543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","N/A",'MP-CP'!E300)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'MP-CP'!E220</f>
        <v>0</v>
      </c>
      <c r="P40" s="171">
        <f>'MP-CP'!E240</f>
        <v>0</v>
      </c>
      <c r="Q40" s="169">
        <f>O40</f>
        <v>0</v>
      </c>
      <c r="R40" s="170">
        <f>IF(N40=" ","N/A",'MP-CP'!E320)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620</v>
      </c>
      <c r="P41" s="170">
        <f>ROUND('MP-CP'!E26,1)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'MP-CP'!E97</f>
        <v>2.5320466944462043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CONCATENATE('MP-CP'!E20," - Rotor Class C" )</f>
        <v>A0030 - Rotor Class C</v>
      </c>
      <c r="F2" s="233"/>
      <c r="G2" s="233"/>
      <c r="H2" s="233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'MP-CP'!E104-(P4/'MP-CP'!E22)</f>
        <v>162.14949590041181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622 rpm, 1.6hp and 8.3ft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('MP-CP'!E104*'MP-CP'!E22)-'MP-CP'!E83</f>
        <v>93.001405955054295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('MP-CP'!E106*'MP-CP'!E22)-'MP-CP'!E85</f>
        <v>140.46647190961858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IF('MP-CP'!E46="N/A","N/A",ROUND('MP-CP'!E46,0))</f>
        <v>622</v>
      </c>
      <c r="P6" s="141">
        <f>IF('MP-CP'!E46="N/A","N/A",'MP-CP'!X17)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IF('MP-CP'!E46="N/A",0,'MP-CP'!E108-(P8/'MP-CP'!E22))</f>
        <v>28.401479381126592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IF('MP-CP'!E46="N/A",0,'MP-CP'!E108)</f>
        <v>1400</v>
      </c>
      <c r="P8" s="141">
        <f>IF('MP-CP'!E46="N/A","N/A",('MP-CP'!E108*'MP-CP'!E22)-'MP-CP'!E71)</f>
        <v>152.24743578869496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622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ROUND('MP-CP'!E49,1)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'MP-CP'!E394</f>
        <v>155.4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","N/A",'MP-CP'!E375)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","N/A",'MP-CP'!E376)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","N/A",'MP-CP'!E396)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","N/A",'MP-CP'!E377)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","N/A",'MP-CP'!E397)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145</v>
      </c>
      <c r="O35" s="169">
        <v>0</v>
      </c>
      <c r="P35" s="171">
        <v>0</v>
      </c>
      <c r="Q35" s="169" t="str">
        <f>IF(N36=" ","N/A",'MP-CP'!E378)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","N/A",'MP-CP'!E398)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139</v>
      </c>
      <c r="O37" s="169">
        <v>0</v>
      </c>
      <c r="P37" s="171">
        <v>0</v>
      </c>
      <c r="Q37" s="169">
        <f>IF(N38=" ","N/A",'MP-CP'!E379)</f>
        <v>162.14949590041178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IF('MP-CP'!X19&lt;O21,"5 / 75"," ")</f>
        <v>5 / 75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>
        <f>IF(N38=" ","N/A ",'MP-CP'!E399)</f>
        <v>93.001405955054295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","N/A",'MP-CP'!E186)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'MP-CP'!E220</f>
        <v>0</v>
      </c>
      <c r="P40" s="171">
        <f>'MP-CP'!E240</f>
        <v>0</v>
      </c>
      <c r="Q40" s="169">
        <f>O40</f>
        <v>0</v>
      </c>
      <c r="R40" s="170">
        <f>IF(N40=" ","N/A",'MP-CP'!E400)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622</v>
      </c>
      <c r="P41" s="170">
        <f>ROUND('MP-CP'!E47,1)</f>
        <v>1.6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'MP-CP'!E98</f>
        <v>2.5379590529399154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CONCATENATE('MP-CP'!E20," - Rotor Class C" )</f>
        <v>A0030 -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'MP-CP'!E106</f>
        <v>1400</v>
      </c>
      <c r="P2" s="141">
        <f>O2*'MP-CP'!E22</f>
        <v>155.4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'MP-CP'!E104-(P4/'MP-CP'!E22)</f>
        <v>162.14949590041181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'MP-CP'!E104</f>
        <v>1000</v>
      </c>
      <c r="P4" s="141">
        <f>('MP-CP'!E104*'MP-CP'!E22)-'MP-CP'!E83</f>
        <v>93.001405955054295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('MP-CP'!E106*'MP-CP'!E22)-'MP-CP'!E85</f>
        <v>140.46647190961858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IF('MP-CP'!E46="N/A","N/A",ROUND('MP-CP'!E46,0))</f>
        <v>622</v>
      </c>
      <c r="P6" s="141">
        <f>IF('MP-CP'!E46="N/A","N/A",'MP-CP'!X17)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IF('MP-CP'!E46="N/A",0,'MP-CP'!E108-(P8/'MP-CP'!E22))</f>
        <v>28.401479381126592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IF('MP-CP'!E46="N/A",0,'MP-CP'!E108)</f>
        <v>1400</v>
      </c>
      <c r="P8" s="141">
        <f>IF('MP-CP'!E46="N/A","N/A",('MP-CP'!E108*'MP-CP'!E22)-'MP-CP'!E71)</f>
        <v>152.24743578869496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34.183206147169926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622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ROUND('MP-CP'!E49,1)</f>
        <v>8.3000000000000007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160</v>
      </c>
      <c r="P22" s="170">
        <f>O22/3.785412</f>
        <v>42.267525965469545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4*1.341022</f>
        <v>5.3640879999999997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'MP-CP'!E214</f>
        <v>1400</v>
      </c>
      <c r="P28" s="171">
        <f>'MP-CP'!E234</f>
        <v>1.5996839964740874</v>
      </c>
      <c r="Q28" s="169">
        <f>O28</f>
        <v>1400</v>
      </c>
      <c r="R28" s="170">
        <f>'MP-CP'!E394</f>
        <v>155.4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","N/A",'MP-CP'!E375)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'MP-CP'!E215</f>
        <v>1400</v>
      </c>
      <c r="P30" s="171">
        <f>'MP-CP'!E235</f>
        <v>1.8949439964740877</v>
      </c>
      <c r="Q30" s="169">
        <f>O30</f>
        <v>1400</v>
      </c>
      <c r="R30" s="170" t="str">
        <f>IF(N30=" ","N/A",'MP-CP'!E395)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","N/A",'MP-CP'!E376)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'MP-CP'!E216</f>
        <v>1400</v>
      </c>
      <c r="P32" s="171">
        <f>'MP-CP'!E236</f>
        <v>2.1902039964740876</v>
      </c>
      <c r="Q32" s="169">
        <f>O32</f>
        <v>1400</v>
      </c>
      <c r="R32" s="170" t="str">
        <f>IF(N32=" ","N/A",'MP-CP'!E396)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","N/A",'MP-CP'!E377)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'MP-CP'!E217</f>
        <v>1400</v>
      </c>
      <c r="P34" s="171">
        <f>'MP-CP'!E237</f>
        <v>2.4854639964740874</v>
      </c>
      <c r="Q34" s="169">
        <f>O34</f>
        <v>1400</v>
      </c>
      <c r="R34" s="170" t="str">
        <f>IF(N34=" ","N/A",'MP-CP'!E397)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145</v>
      </c>
      <c r="O35" s="169">
        <v>0</v>
      </c>
      <c r="P35" s="171">
        <v>0</v>
      </c>
      <c r="Q35" s="169" t="str">
        <f>IF(N36=" ","N/A",'MP-CP'!E378)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IF('MP-CP'!X19&lt;O18,"4 / 60"," ")</f>
        <v xml:space="preserve"> </v>
      </c>
      <c r="O36" s="169">
        <f>'MP-CP'!E218</f>
        <v>1266.6666666666667</v>
      </c>
      <c r="P36" s="171">
        <f>'MP-CP'!E238</f>
        <v>2.5158931396670319</v>
      </c>
      <c r="Q36" s="169">
        <f>O36</f>
        <v>1266.6666666666667</v>
      </c>
      <c r="R36" s="170" t="str">
        <f>IF(N36=" ","N/A",'MP-CP'!E398)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139</v>
      </c>
      <c r="O37" s="169">
        <v>0</v>
      </c>
      <c r="P37" s="171">
        <v>0</v>
      </c>
      <c r="Q37" s="169">
        <f>IF(N38=" ","N/A",'MP-CP'!E379)</f>
        <v>162.14949590041178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IF('MP-CP'!X19&lt;O21,"5 / 75"," ")</f>
        <v>5 / 75</v>
      </c>
      <c r="O38" s="169">
        <f>'MP-CP'!E219</f>
        <v>1000</v>
      </c>
      <c r="P38" s="171">
        <f>'MP-CP'!E239</f>
        <v>2.1971314260529198</v>
      </c>
      <c r="Q38" s="169">
        <f>O38</f>
        <v>1000</v>
      </c>
      <c r="R38" s="170">
        <f>IF(N38=" ","N/A ",'MP-CP'!E399)</f>
        <v>93.001405955054295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","N/A",'MP-CP'!E186)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'MP-CP'!E220</f>
        <v>0</v>
      </c>
      <c r="P40" s="171">
        <f>'MP-CP'!E240</f>
        <v>0</v>
      </c>
      <c r="Q40" s="169">
        <f>O40</f>
        <v>0</v>
      </c>
      <c r="R40" s="170">
        <f>IF(N40=" ","N/A",'MP-CP'!E400)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622</v>
      </c>
      <c r="P41" s="170">
        <f>ROUND('MP-CP'!E47,1)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'MP-CP'!E98</f>
        <v>2.5379590529399154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0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89"/>
      <c r="N1" s="186" t="s">
        <v>51</v>
      </c>
      <c r="O1" s="186">
        <v>0</v>
      </c>
      <c r="P1" s="186">
        <v>0</v>
      </c>
      <c r="Q1" s="186"/>
      <c r="R1" s="186"/>
      <c r="S1" s="189"/>
      <c r="T1" s="189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CONCATENATE('MP-CP'!C20," Rotor Class A" )</f>
        <v>A0015 Rotor Class A</v>
      </c>
      <c r="F2" s="233"/>
      <c r="G2" s="233"/>
      <c r="H2" s="233"/>
      <c r="J2" s="17"/>
      <c r="M2" s="189"/>
      <c r="N2" s="186" t="s">
        <v>52</v>
      </c>
      <c r="O2" s="186">
        <f>'MP-CP'!C106</f>
        <v>1400</v>
      </c>
      <c r="P2" s="186">
        <f>O2*'MP-CP'!C22</f>
        <v>64.400000000000006</v>
      </c>
      <c r="Q2" s="186"/>
      <c r="R2" s="186"/>
      <c r="S2" s="186"/>
      <c r="T2" s="189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89"/>
      <c r="N3" s="186" t="s">
        <v>60</v>
      </c>
      <c r="O3" s="186">
        <f>'MP-CP'!C104-(P4/'MP-CP'!C22)</f>
        <v>36.551224490153572</v>
      </c>
      <c r="P3" s="186">
        <v>0</v>
      </c>
      <c r="Q3" s="186"/>
      <c r="R3" s="186"/>
      <c r="S3" s="186"/>
      <c r="T3" s="189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No Selection - Outside of Operating Range</v>
      </c>
      <c r="F4" s="238"/>
      <c r="G4" s="238"/>
      <c r="H4" s="238"/>
      <c r="I4" s="17"/>
      <c r="J4" s="17"/>
      <c r="K4" s="236"/>
      <c r="L4" s="237"/>
      <c r="M4" s="189"/>
      <c r="N4" s="186" t="s">
        <v>59</v>
      </c>
      <c r="O4" s="186">
        <f>'MP-CP'!C104</f>
        <v>1000</v>
      </c>
      <c r="P4" s="186">
        <f>('MP-CP'!C104*'MP-CP'!C22)-'MP-CP'!C78</f>
        <v>44.318643673452932</v>
      </c>
      <c r="Q4" s="186"/>
      <c r="R4" s="186"/>
      <c r="S4" s="186"/>
      <c r="T4" s="189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89"/>
      <c r="N5" s="186" t="s">
        <v>89</v>
      </c>
      <c r="O5" s="186">
        <f>O2</f>
        <v>1400</v>
      </c>
      <c r="P5" s="186">
        <f>('MP-CP'!C106*'MP-CP'!C22)-'MP-CP'!C79</f>
        <v>62.996938287569741</v>
      </c>
      <c r="Q5" s="186"/>
      <c r="R5" s="186"/>
      <c r="S5" s="186"/>
      <c r="T5" s="189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89"/>
      <c r="N6" s="186" t="s">
        <v>90</v>
      </c>
      <c r="O6" s="188" t="str">
        <f>IF('MP-CP'!C25="N/A","N/A",ROUND('MP-CP'!C25,0))</f>
        <v>N/A</v>
      </c>
      <c r="P6" s="186" t="str">
        <f>IF('MP-CP'!C25="N/A","N/A",'MP-CP'!X17)</f>
        <v>N/A</v>
      </c>
      <c r="Q6" s="186"/>
      <c r="R6" s="186"/>
      <c r="S6" s="186"/>
      <c r="T6" s="189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89"/>
      <c r="N7" s="186" t="s">
        <v>91</v>
      </c>
      <c r="O7" s="186">
        <f>IF('MP-CP'!C25="N/A",0,'MP-CP'!C108-(P8/'MP-CP'!C22))</f>
        <v>0</v>
      </c>
      <c r="P7" s="186">
        <v>0</v>
      </c>
      <c r="Q7" s="186"/>
      <c r="R7" s="186"/>
      <c r="S7" s="186"/>
      <c r="T7" s="189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89"/>
      <c r="N8" s="186" t="s">
        <v>92</v>
      </c>
      <c r="O8" s="186">
        <f>IF('MP-CP'!C25="N/A",0,'MP-CP'!C108)</f>
        <v>0</v>
      </c>
      <c r="P8" s="186" t="str">
        <f>IF('MP-CP'!C25="N/A","N/A",('MP-CP'!C108*'MP-CP'!C22)-'MP-CP'!C69)</f>
        <v>N/A</v>
      </c>
      <c r="Q8" s="186"/>
      <c r="R8" s="186"/>
      <c r="S8" s="186"/>
      <c r="T8" s="189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89"/>
      <c r="N9" s="186" t="s">
        <v>98</v>
      </c>
      <c r="O9" s="186">
        <f>O1</f>
        <v>0</v>
      </c>
      <c r="P9" s="186">
        <f>P1</f>
        <v>0</v>
      </c>
      <c r="Q9" s="186"/>
      <c r="R9" s="186"/>
      <c r="S9" s="186"/>
      <c r="T9" s="189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89"/>
      <c r="N10" s="186" t="s">
        <v>99</v>
      </c>
      <c r="O10" s="186">
        <f>O2</f>
        <v>1400</v>
      </c>
      <c r="P10" s="186">
        <f>P2/4.546092</f>
        <v>14.166013358286635</v>
      </c>
      <c r="Q10" s="186"/>
      <c r="R10" s="186"/>
      <c r="S10" s="186"/>
      <c r="T10" s="189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89"/>
      <c r="N11" s="186"/>
      <c r="O11" s="189"/>
      <c r="P11" s="189"/>
      <c r="Q11" s="186"/>
      <c r="R11" s="186"/>
      <c r="S11" s="186"/>
      <c r="T11" s="189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89"/>
      <c r="N12" s="189"/>
      <c r="O12" s="189"/>
      <c r="P12" s="189"/>
      <c r="Q12" s="186"/>
      <c r="R12" s="186"/>
      <c r="S12" s="186"/>
      <c r="T12" s="189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89"/>
      <c r="N13" s="186"/>
      <c r="O13" s="186"/>
      <c r="P13" s="186"/>
      <c r="Q13" s="186"/>
      <c r="R13" s="186"/>
      <c r="S13" s="186"/>
      <c r="T13" s="189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89"/>
      <c r="N14" s="186" t="s">
        <v>131</v>
      </c>
      <c r="O14" s="188" t="str">
        <f>O6</f>
        <v>N/A</v>
      </c>
      <c r="P14" s="186" t="s">
        <v>122</v>
      </c>
      <c r="Q14" s="186"/>
      <c r="R14" s="186"/>
      <c r="S14" s="186"/>
      <c r="T14" s="189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89"/>
      <c r="N15" s="186"/>
      <c r="O15" s="190" t="e">
        <f>P41</f>
        <v>#VALUE!</v>
      </c>
      <c r="P15" s="186" t="str">
        <f>IF('MP-CP'!$B$38="Power required - kw","kw","hp")</f>
        <v>hp</v>
      </c>
      <c r="Q15" s="186"/>
      <c r="R15" s="186"/>
      <c r="S15" s="186"/>
      <c r="T15" s="189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89"/>
      <c r="N16" s="186"/>
      <c r="O16" s="186" t="e">
        <f>ROUND('MP-CP'!C28,1)</f>
        <v>#VALUE!</v>
      </c>
      <c r="P16" s="186" t="str">
        <f>(IF('MP-CP'!$B$28="NPSHr  -  m","m","ft"))</f>
        <v>ft</v>
      </c>
      <c r="Q16" s="186"/>
      <c r="R16" s="186"/>
      <c r="S16" s="186"/>
      <c r="T16" s="189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89"/>
      <c r="N17" s="186"/>
      <c r="O17" s="186"/>
      <c r="P17" s="186"/>
      <c r="Q17" s="186"/>
      <c r="R17" s="186"/>
      <c r="S17" s="186"/>
      <c r="T17" s="189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89"/>
      <c r="N18" s="186" t="s">
        <v>105</v>
      </c>
      <c r="O18" s="186">
        <v>25</v>
      </c>
      <c r="P18" s="186"/>
      <c r="Q18" s="186"/>
      <c r="R18" s="186"/>
      <c r="S18" s="186"/>
      <c r="T18" s="189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89"/>
      <c r="N19" s="186"/>
      <c r="O19" s="186">
        <v>100</v>
      </c>
      <c r="P19" s="186"/>
      <c r="Q19" s="186"/>
      <c r="R19" s="186"/>
      <c r="S19" s="186"/>
      <c r="T19" s="189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89"/>
      <c r="N20" s="186"/>
      <c r="O20" s="186">
        <v>250</v>
      </c>
      <c r="P20" s="186"/>
      <c r="Q20" s="186"/>
      <c r="R20" s="186"/>
      <c r="S20" s="186"/>
      <c r="T20" s="189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89"/>
      <c r="N21" s="186"/>
      <c r="O21" s="186">
        <v>500</v>
      </c>
      <c r="P21" s="186"/>
      <c r="Q21" s="186"/>
      <c r="R21" s="186"/>
      <c r="S21" s="186"/>
      <c r="T21" s="189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89"/>
      <c r="N22" s="186" t="s">
        <v>135</v>
      </c>
      <c r="O22" s="186">
        <v>70</v>
      </c>
      <c r="P22" s="190">
        <f>O22/3.785412</f>
        <v>18.492042609892927</v>
      </c>
      <c r="Q22" s="186" t="s">
        <v>87</v>
      </c>
      <c r="R22" s="186"/>
      <c r="S22" s="186"/>
      <c r="T22" s="189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89"/>
      <c r="N23" s="186" t="s">
        <v>135</v>
      </c>
      <c r="O23" s="186">
        <v>1400</v>
      </c>
      <c r="P23" s="190">
        <f>3*1.341022</f>
        <v>4.023066</v>
      </c>
      <c r="Q23" s="186" t="s">
        <v>136</v>
      </c>
      <c r="R23" s="186"/>
      <c r="S23" s="186"/>
      <c r="T23" s="189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89"/>
      <c r="N24" s="186" t="s">
        <v>135</v>
      </c>
      <c r="O24" s="186">
        <v>10</v>
      </c>
      <c r="P24" s="190">
        <f>O24*3.28083</f>
        <v>32.808300000000003</v>
      </c>
      <c r="Q24" s="186" t="s">
        <v>18</v>
      </c>
      <c r="R24" s="186"/>
      <c r="S24" s="186"/>
      <c r="T24" s="189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89"/>
      <c r="N25" s="186"/>
      <c r="O25" s="186"/>
      <c r="P25" s="186"/>
      <c r="Q25" s="186"/>
      <c r="R25" s="186"/>
      <c r="S25" s="186"/>
      <c r="T25" s="189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89"/>
      <c r="N26" s="186"/>
      <c r="O26" s="186"/>
      <c r="P26" s="186"/>
      <c r="Q26" s="186"/>
      <c r="R26" s="186"/>
      <c r="S26" s="186"/>
      <c r="T26" s="189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89"/>
      <c r="N27" s="188">
        <v>0</v>
      </c>
      <c r="O27" s="186">
        <v>0</v>
      </c>
      <c r="P27" s="187">
        <v>0</v>
      </c>
      <c r="Q27" s="186">
        <v>0</v>
      </c>
      <c r="R27" s="186">
        <v>0</v>
      </c>
      <c r="S27" s="186"/>
      <c r="T27" s="189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89"/>
      <c r="N28" s="190" t="str">
        <f>IF('MP-CP'!X19&lt;O21,"0 / 0","0-max")</f>
        <v>0 / 0</v>
      </c>
      <c r="O28" s="188">
        <f>'MP-CP'!C214</f>
        <v>1400</v>
      </c>
      <c r="P28" s="187">
        <f>'MP-CP'!C234</f>
        <v>0.90700810664691922</v>
      </c>
      <c r="Q28" s="188">
        <f>O28</f>
        <v>1400</v>
      </c>
      <c r="R28" s="190">
        <f>'MP-CP'!C194</f>
        <v>64.400000000000006</v>
      </c>
      <c r="S28" s="186"/>
      <c r="T28" s="189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89"/>
      <c r="N29" s="190" t="s">
        <v>137</v>
      </c>
      <c r="O29" s="186">
        <v>0</v>
      </c>
      <c r="P29" s="187">
        <v>0</v>
      </c>
      <c r="Q29" s="188" t="str">
        <f>IF(N30=" ","N/A",'MP-CP'!C175)</f>
        <v>N/A</v>
      </c>
      <c r="R29" s="186">
        <v>0</v>
      </c>
      <c r="S29" s="186"/>
      <c r="T29" s="189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89"/>
      <c r="N30" s="190" t="str">
        <f>IF('MP-CP'!X19&lt;O19,"1 / 15"," ")</f>
        <v xml:space="preserve"> </v>
      </c>
      <c r="O30" s="188">
        <f>'MP-CP'!C215</f>
        <v>1400</v>
      </c>
      <c r="P30" s="187">
        <f>'MP-CP'!C235</f>
        <v>1.0293681066469191</v>
      </c>
      <c r="Q30" s="188">
        <f>O30</f>
        <v>1400</v>
      </c>
      <c r="R30" s="190" t="str">
        <f>IF(N30=" ","N/A",'MP-CP'!C195)</f>
        <v>N/A</v>
      </c>
      <c r="S30" s="186"/>
      <c r="T30" s="189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89"/>
      <c r="N31" s="190" t="s">
        <v>138</v>
      </c>
      <c r="O31" s="188">
        <v>0</v>
      </c>
      <c r="P31" s="187">
        <v>0</v>
      </c>
      <c r="Q31" s="188" t="str">
        <f>IF(N32=" ","N/A",'MP-CP'!C177)</f>
        <v>N/A</v>
      </c>
      <c r="R31" s="186">
        <v>0</v>
      </c>
      <c r="S31" s="186"/>
      <c r="T31" s="189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89"/>
      <c r="N32" s="190" t="str">
        <f>IF('MP-CP'!X19&lt;O20,"3 / 45"," ")</f>
        <v xml:space="preserve"> </v>
      </c>
      <c r="O32" s="188">
        <f>'MP-CP'!C217</f>
        <v>1400</v>
      </c>
      <c r="P32" s="187">
        <f>'MP-CP'!C237</f>
        <v>1.2740881066469192</v>
      </c>
      <c r="Q32" s="188">
        <f>O32</f>
        <v>1400</v>
      </c>
      <c r="R32" s="190" t="str">
        <f>IF(N32=" ","N/A",'MP-CP'!C197)</f>
        <v>N/A</v>
      </c>
      <c r="S32" s="186"/>
      <c r="T32" s="189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89"/>
      <c r="N33" s="190" t="s">
        <v>139</v>
      </c>
      <c r="O33" s="188">
        <v>0</v>
      </c>
      <c r="P33" s="187">
        <v>0</v>
      </c>
      <c r="Q33" s="188" t="str">
        <f>IF(N34=" ","N/A",'MP-CP'!C179)</f>
        <v>N/A</v>
      </c>
      <c r="R33" s="186">
        <v>0</v>
      </c>
      <c r="S33" s="186"/>
      <c r="T33" s="189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89"/>
      <c r="N34" s="190" t="str">
        <f>IF('MP-CP'!X19&lt;O18,"5 / 75"," ")</f>
        <v xml:space="preserve"> </v>
      </c>
      <c r="O34" s="188">
        <f>'MP-CP'!C219</f>
        <v>1400</v>
      </c>
      <c r="P34" s="187">
        <f>'MP-CP'!C239</f>
        <v>1.5188081066469192</v>
      </c>
      <c r="Q34" s="188">
        <f>O34</f>
        <v>1400</v>
      </c>
      <c r="R34" s="190" t="str">
        <f>IF(N34=" ","N/A",'MP-CP'!C199)</f>
        <v>N/A</v>
      </c>
      <c r="S34" s="186"/>
      <c r="T34" s="189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89"/>
      <c r="N35" s="190" t="s">
        <v>140</v>
      </c>
      <c r="O35" s="188">
        <v>0</v>
      </c>
      <c r="P35" s="187">
        <v>0</v>
      </c>
      <c r="Q35" s="188" t="str">
        <f>IF(N36=" ","N/A",'MP-CP'!C181)</f>
        <v>N/A</v>
      </c>
      <c r="R35" s="186">
        <v>0</v>
      </c>
      <c r="S35" s="186"/>
      <c r="T35" s="189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89"/>
      <c r="N36" s="190" t="str">
        <f>IF('MP-CP'!X19&lt;O20,"7 / 105"," ")</f>
        <v xml:space="preserve"> </v>
      </c>
      <c r="O36" s="188">
        <f>'MP-CP'!C221</f>
        <v>1400</v>
      </c>
      <c r="P36" s="187">
        <f>'MP-CP'!C241</f>
        <v>1.7635281066469191</v>
      </c>
      <c r="Q36" s="188">
        <f>O36</f>
        <v>1400</v>
      </c>
      <c r="R36" s="190" t="str">
        <f>IF(N36=" ","N/A",'MP-CP'!C201)</f>
        <v>N/A</v>
      </c>
      <c r="S36" s="186"/>
      <c r="T36" s="189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89"/>
      <c r="N37" s="190" t="s">
        <v>141</v>
      </c>
      <c r="O37" s="188">
        <v>0</v>
      </c>
      <c r="P37" s="187">
        <v>0</v>
      </c>
      <c r="Q37" s="188" t="str">
        <f>IF(N38=" ","N/A",'MP-CP'!C184)</f>
        <v>N/A</v>
      </c>
      <c r="R37" s="186">
        <v>0</v>
      </c>
      <c r="S37" s="186"/>
      <c r="T37" s="189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89"/>
      <c r="N38" s="190" t="str">
        <f>IF('MP-CP'!X19&lt;O18,"10 / 150"," ")</f>
        <v xml:space="preserve"> </v>
      </c>
      <c r="O38" s="188">
        <f>'MP-CP'!C224</f>
        <v>1228.5714285714287</v>
      </c>
      <c r="P38" s="187">
        <f>'MP-CP'!C244</f>
        <v>1.869717318077909</v>
      </c>
      <c r="Q38" s="188">
        <f>O38</f>
        <v>1228.5714285714287</v>
      </c>
      <c r="R38" s="190" t="str">
        <f>IF(N38=" ","N/A ",'MP-CP'!C204)</f>
        <v xml:space="preserve">N/A </v>
      </c>
      <c r="S38" s="186"/>
      <c r="T38" s="189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89"/>
      <c r="N39" s="190" t="s">
        <v>142</v>
      </c>
      <c r="O39" s="188">
        <v>0</v>
      </c>
      <c r="P39" s="187">
        <v>0</v>
      </c>
      <c r="Q39" s="188">
        <f>IF(N40=" ","N/A",'MP-CP'!C186)</f>
        <v>36.551224490153672</v>
      </c>
      <c r="R39" s="186">
        <v>0</v>
      </c>
      <c r="S39" s="186"/>
      <c r="T39" s="189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89"/>
      <c r="N40" s="190" t="str">
        <f>IF('MP-CP'!X19&lt;O21,"12 / 175"," ")</f>
        <v>12 / 175</v>
      </c>
      <c r="O40" s="188">
        <f>'MP-CP'!C226</f>
        <v>1000</v>
      </c>
      <c r="P40" s="187">
        <f>'MP-CP'!C246</f>
        <v>1.6966629333192278</v>
      </c>
      <c r="Q40" s="188">
        <f>O40</f>
        <v>1000</v>
      </c>
      <c r="R40" s="190">
        <f>IF(N40=" ","N/A",'MP-CP'!C206)</f>
        <v>44.318643673452932</v>
      </c>
      <c r="S40" s="186"/>
      <c r="T40" s="189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89"/>
      <c r="N41" s="186" t="s">
        <v>102</v>
      </c>
      <c r="O41" s="188" t="str">
        <f>O6</f>
        <v>N/A</v>
      </c>
      <c r="P41" s="190" t="e">
        <f>ROUND('MP-CP'!C26,1)</f>
        <v>#VALUE!</v>
      </c>
      <c r="Q41" s="186"/>
      <c r="R41" s="186"/>
      <c r="S41" s="186"/>
      <c r="T41" s="189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89"/>
      <c r="N42" s="189"/>
      <c r="O42" s="189"/>
      <c r="P42" s="194" t="e">
        <f>'MP-CP'!C96</f>
        <v>#VALUE!</v>
      </c>
      <c r="Q42" s="189"/>
      <c r="R42" s="189"/>
      <c r="S42" s="186"/>
      <c r="T42" s="189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89"/>
      <c r="N43" s="189"/>
      <c r="O43" s="189"/>
      <c r="P43" s="189"/>
      <c r="Q43" s="189"/>
      <c r="R43" s="189"/>
      <c r="S43" s="186"/>
      <c r="T43" s="189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89"/>
      <c r="N44" s="189"/>
      <c r="O44" s="189"/>
      <c r="P44" s="189"/>
      <c r="Q44" s="189"/>
      <c r="R44" s="189"/>
      <c r="S44" s="186"/>
      <c r="T44" s="189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89"/>
      <c r="N45" s="189"/>
      <c r="O45" s="189"/>
      <c r="P45" s="189"/>
      <c r="Q45" s="189"/>
      <c r="R45" s="189"/>
      <c r="S45" s="186"/>
      <c r="T45" s="189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89"/>
      <c r="N46" s="186"/>
      <c r="O46" s="186"/>
      <c r="P46" s="186"/>
      <c r="Q46" s="186"/>
      <c r="R46" s="186"/>
      <c r="S46" s="186"/>
      <c r="T46" s="189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89"/>
      <c r="N47" s="189"/>
      <c r="O47" s="189"/>
      <c r="P47" s="189"/>
      <c r="Q47" s="189"/>
      <c r="R47" s="189"/>
      <c r="S47" s="189"/>
      <c r="T47" s="189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89"/>
      <c r="N48" s="189"/>
      <c r="O48" s="189"/>
      <c r="P48" s="189"/>
      <c r="Q48" s="189"/>
      <c r="R48" s="189"/>
      <c r="S48" s="189"/>
      <c r="T48" s="189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89"/>
      <c r="N49" s="189"/>
      <c r="O49" s="189"/>
      <c r="P49" s="189"/>
      <c r="Q49" s="189"/>
      <c r="R49" s="189"/>
      <c r="S49" s="189"/>
      <c r="T49" s="189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K3:L4"/>
    <mergeCell ref="E3:H3"/>
    <mergeCell ref="E4:H4"/>
  </mergeCells>
  <phoneticPr fontId="3" type="noConversion"/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  <ignoredError sqref="O15:O16 P41:P42" evalErro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1" enableFormatConditionsCalculation="0">
    <tabColor rgb="FF00B050"/>
    <pageSetUpPr fitToPage="1"/>
  </sheetPr>
  <dimension ref="A1:AH62"/>
  <sheetViews>
    <sheetView showRowColHeaders="0" tabSelected="1" workbookViewId="0">
      <selection activeCell="B3" sqref="B3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CONCATENATE('MP-CP'!F20," Rotor Class A" )</f>
        <v>B0060 Rotor Class A</v>
      </c>
      <c r="F2" s="233"/>
      <c r="G2" s="233"/>
      <c r="H2" s="233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'MP-CP'!F104-(P4/'MP-CP'!F22)</f>
        <v>27.193097453461064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342 rpm, 1.1hp and 7.8ft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('MP-CP'!F104*'MP-CP'!F22)-'MP-CP'!F78</f>
        <v>146.00699431440088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('MP-CP'!F106*'MP-CP'!F22)-'MP-CP'!F79</f>
        <v>197.18000640391693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IF('MP-CP'!F25="N/A","N/A",ROUND('MP-CP'!F25,0))</f>
        <v>342</v>
      </c>
      <c r="P6" s="141">
        <f>IF('MP-CP'!F25="N/A","N/A",'MP-CP'!X17)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IF('MP-CP'!F25="N/A",0,'MP-CP'!F108-(P8/'MP-CP'!F22))</f>
        <v>16.015622940826916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IF('MP-CP'!F25="N/A",0,'MP-CP'!F108)</f>
        <v>1000</v>
      </c>
      <c r="P8" s="141">
        <f>IF('MP-CP'!F25="N/A","N/A",('MP-CP'!F108*'MP-CP'!F22)-'MP-CP'!F69)</f>
        <v>198.76484416595298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342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ROUND('MP-CP'!F28,1)</f>
        <v>7.8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220</v>
      </c>
      <c r="P22" s="170">
        <f>O22/3.785412</f>
        <v>58.117848202520626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'MP-CP'!F194</f>
        <v>202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","N/A",'MP-CP'!F175)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","N/A",'MP-CP'!F177)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","N/A",'MP-CP'!F197)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","N/A",'MP-CP'!F179)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","N/A",'MP-CP'!F199)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","N/A",'MP-CP'!F181)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","N/A",'MP-CP'!F201)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","N/A",'MP-CP'!F184)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",'MP-CP'!F204)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","N/A",'MP-CP'!F186)</f>
        <v>27.193097453460911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","N/A",'MP-CP'!F206)</f>
        <v>146.00699431440088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342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'MP-CP'!F96</f>
        <v>2.3918723704100189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 r:id="rId1"/>
  <headerFooter alignWithMargins="0"/>
  <ignoredErrors>
    <ignoredError sqref="Q29:S40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CONCATENATE('MP-CP'!F20," - Rotor Class A" )</f>
        <v>B0060 -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'MP-CP'!F104-(P4/'MP-CP'!F22)</f>
        <v>27.193097453461064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('MP-CP'!F104*'MP-CP'!F22)-'MP-CP'!F78</f>
        <v>146.00699431440088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('MP-CP'!F106*'MP-CP'!F22)-'MP-CP'!F79</f>
        <v>197.18000640391693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IF('MP-CP'!F25="N/A","N/A",ROUND('MP-CP'!F25,0))</f>
        <v>342</v>
      </c>
      <c r="P6" s="141">
        <f>IF('MP-CP'!F25="N/A","N/A",'MP-CP'!X17)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IF('MP-CP'!F25="N/A",0,'MP-CP'!F108-(P8/'MP-CP'!F22))</f>
        <v>16.015622940826916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IF('MP-CP'!F25="N/A",0,'MP-CP'!F108)</f>
        <v>1000</v>
      </c>
      <c r="P8" s="141">
        <f>IF('MP-CP'!F25="N/A","N/A",('MP-CP'!F108*'MP-CP'!F22)-'MP-CP'!F69)</f>
        <v>198.76484416595298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342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ROUND('MP-CP'!F28,1)</f>
        <v>7.8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220</v>
      </c>
      <c r="P22" s="170">
        <f>O22/3.785412</f>
        <v>58.117848202520626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6*1.341022</f>
        <v>8.0461320000000001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'MP-CP'!F194</f>
        <v>202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","N/A",'MP-CP'!F175)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","N/A",'MP-CP'!F177)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","N/A",'MP-CP'!F179)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","N/A",'MP-CP'!F181)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","N/A",'MP-CP'!F184)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","N/A",'MP-CP'!F186)</f>
        <v>27.193097453460911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","N/A",'MP-CP'!F206)</f>
        <v>146.00699431440088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342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'MP-CP'!F96</f>
        <v>2.3918723704100189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CONCATENATE('MP-CP'!F20," Rotor Class B" )</f>
        <v>B0060 Rotor Class B</v>
      </c>
      <c r="F2" s="233"/>
      <c r="G2" s="233"/>
      <c r="H2" s="233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'MP-CP'!F104-(P4/'MP-CP'!F22)</f>
        <v>86.599038047520366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344 rpm, 1.1hp and 7.9ft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('MP-CP'!F104*'MP-CP'!F22)-'MP-CP'!F80</f>
        <v>134.00699431440088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('MP-CP'!F106*'MP-CP'!F22)-'MP-CP'!F82</f>
        <v>186.93000640391693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IF('MP-CP'!F37="N/A","N/A",ROUND('MP-CP'!F37,0))</f>
        <v>344</v>
      </c>
      <c r="P6" s="141">
        <f>IF('MP-CP'!F37="N/A","N/A",'MP-CP'!X17)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IF('MP-CP'!F37="N/A",0,'MP-CP'!F108-(P8/'MP-CP'!F22))</f>
        <v>17.634607862809617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IF('MP-CP'!F37="N/A",0,'MP-CP'!F108)</f>
        <v>1000</v>
      </c>
      <c r="P8" s="141">
        <f>IF('MP-CP'!F37="N/A","N/A",('MP-CP'!F108*'MP-CP'!F22)-'MP-CP'!F70)</f>
        <v>198.43780921171248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344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ROUND('MP-CP'!F40,1)</f>
        <v>7.9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'MP-CP'!F314</f>
        <v>202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","N/A",'MP-CP'!F295)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","N/A",'MP-CP'!F297)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","N/A",'MP-CP'!F317)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","N/A",'MP-CP'!F299)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","N/A",'MP-CP'!F319)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","N/A",'MP-CP'!F301)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","N/A",'MP-CP'!F321)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","N/A",'MP-CP'!F304)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",'MP-CP'!F324)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","N/A",'MP-CP'!F306)</f>
        <v>86.59903804752031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","N/A",'MP-CP'!F326)</f>
        <v>134.00699431440088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344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'MP-CP'!F97</f>
        <v>2.3973832885328248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CONCATENATE('MP-CP'!F20," - Rotor Class B" )</f>
        <v>B0060 -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'MP-CP'!F104-(P4/'MP-CP'!F22)</f>
        <v>86.599038047520366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('MP-CP'!F104*'MP-CP'!F22)-'MP-CP'!F80</f>
        <v>134.00699431440088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('MP-CP'!F106*'MP-CP'!F22)-'MP-CP'!F82</f>
        <v>186.93000640391693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IF('MP-CP'!F37="N/A","N/A",ROUND('MP-CP'!F37,0))</f>
        <v>344</v>
      </c>
      <c r="P6" s="141">
        <f>IF('MP-CP'!F37="N/A","N/A",'MP-CP'!X17)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IF('MP-CP'!F37="N/A",0,'MP-CP'!F108-(P8/'MP-CP'!F22))</f>
        <v>17.634607862809617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IF('MP-CP'!F37="N/A",0,'MP-CP'!F108)</f>
        <v>1000</v>
      </c>
      <c r="P8" s="141">
        <f>IF('MP-CP'!F37="N/A","N/A",('MP-CP'!F108*'MP-CP'!F22)-'MP-CP'!F70)</f>
        <v>198.43780921171248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344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ROUND('MP-CP'!F40,1)</f>
        <v>7.9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'MP-CP'!F314</f>
        <v>202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","N/A",'MP-CP'!F295)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","N/A",'MP-CP'!F297)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","N/A",'MP-CP'!F299)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","N/A",'MP-CP'!F301)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","N/A",'MP-CP'!F304)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","N/A",'MP-CP'!F306)</f>
        <v>86.59903804752031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","N/A",'MP-CP'!F326)</f>
        <v>134.00699431440088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344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'MP-CP'!F97</f>
        <v>2.3973832885328248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CONCATENATE('MP-CP'!F20," Rotor Class C" )</f>
        <v>B0060 Rotor Class C</v>
      </c>
      <c r="F2" s="233"/>
      <c r="G2" s="233"/>
      <c r="H2" s="233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'MP-CP'!F104-(P4/'MP-CP'!F22)</f>
        <v>175.70794893860943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346 rpm, 1.1hp and 7.9ft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('MP-CP'!F104*'MP-CP'!F22)-'MP-CP'!F83</f>
        <v>116.0069943144009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('MP-CP'!F106*'MP-CP'!F22)-'MP-CP'!F85</f>
        <v>173.30500640391693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IF('MP-CP'!F46="N/A","N/A",ROUND('MP-CP'!F46,0))</f>
        <v>346</v>
      </c>
      <c r="P6" s="141">
        <f>IF('MP-CP'!F46="N/A","N/A",'MP-CP'!X17)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IF('MP-CP'!F46="N/A",0,'MP-CP'!F108-(P8/'MP-CP'!F22))</f>
        <v>19.175254804696237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IF('MP-CP'!F46="N/A",0,'MP-CP'!F108)</f>
        <v>1000</v>
      </c>
      <c r="P8" s="141">
        <f>IF('MP-CP'!F46="N/A","N/A",('MP-CP'!F108*'MP-CP'!F22)-'MP-CP'!F71)</f>
        <v>198.12659852945137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346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ROUND('MP-CP'!F49,1)</f>
        <v>7.9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'MP-CP'!F394</f>
        <v>202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","N/A",'MP-CP'!F375)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","N/A",'MP-CP'!F377)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","N/A",'MP-CP'!F397)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","N/A",'MP-CP'!F379)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","N/A",'MP-CP'!F399)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","N/A",'MP-CP'!F381)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","N/A",'MP-CP'!F401)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","N/A",'MP-CP'!F384)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",'MP-CP'!F404)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","N/A",'MP-CP'!F386)</f>
        <v>175.70794893860941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","N/A",'MP-CP'!F406)</f>
        <v>116.0069943144009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346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'MP-CP'!F98</f>
        <v>2.4026404311146345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3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CONCATENATE('MP-CP'!F20," - Rotor Class C" )</f>
        <v>B0060 -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'MP-CP'!F106</f>
        <v>1000</v>
      </c>
      <c r="P2" s="141">
        <f>O2*'MP-CP'!F22</f>
        <v>202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'MP-CP'!F104-(P4/'MP-CP'!F22)</f>
        <v>175.70794893860943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'MP-CP'!F104</f>
        <v>750</v>
      </c>
      <c r="P4" s="141">
        <f>('MP-CP'!F104*'MP-CP'!F22)-'MP-CP'!F83</f>
        <v>116.0069943144009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('MP-CP'!F106*'MP-CP'!F22)-'MP-CP'!F85</f>
        <v>173.30500640391693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IF('MP-CP'!F46="N/A","N/A",ROUND('MP-CP'!F46,0))</f>
        <v>346</v>
      </c>
      <c r="P6" s="141">
        <f>IF('MP-CP'!F46="N/A","N/A",'MP-CP'!X17)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IF('MP-CP'!F46="N/A",0,'MP-CP'!F108-(P8/'MP-CP'!F22))</f>
        <v>19.175254804696237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IF('MP-CP'!F46="N/A",0,'MP-CP'!F108)</f>
        <v>1000</v>
      </c>
      <c r="P8" s="141">
        <f>IF('MP-CP'!F46="N/A","N/A",('MP-CP'!F108*'MP-CP'!F22)-'MP-CP'!F71)</f>
        <v>198.12659852945137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44.433768608290379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346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ROUND('MP-CP'!F49,1)</f>
        <v>7.9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'MP-CP'!F214</f>
        <v>1000</v>
      </c>
      <c r="P28" s="171">
        <f>'MP-CP'!F234</f>
        <v>1.0887781010324682</v>
      </c>
      <c r="Q28" s="169">
        <f>O28</f>
        <v>1000</v>
      </c>
      <c r="R28" s="170">
        <f>'MP-CP'!F394</f>
        <v>202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","N/A",'MP-CP'!F375)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'MP-CP'!F215</f>
        <v>1000</v>
      </c>
      <c r="P30" s="171">
        <f>'MP-CP'!F235</f>
        <v>1.4725781010324683</v>
      </c>
      <c r="Q30" s="169">
        <f>O30</f>
        <v>1000</v>
      </c>
      <c r="R30" s="170" t="str">
        <f>IF(N30=" ","N/A",'MP-CP'!F395)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","N/A",'MP-CP'!F377)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'MP-CP'!F217</f>
        <v>1000</v>
      </c>
      <c r="P32" s="171">
        <f>'MP-CP'!F237</f>
        <v>2.2401781010324679</v>
      </c>
      <c r="Q32" s="169">
        <f>O32</f>
        <v>1000</v>
      </c>
      <c r="R32" s="170" t="str">
        <f>IF(N32=" ","N/A",'MP-CP'!F397)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","N/A",'MP-CP'!F379)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'MP-CP'!F219</f>
        <v>1000</v>
      </c>
      <c r="P34" s="171">
        <f>'MP-CP'!F239</f>
        <v>3.0077781010324682</v>
      </c>
      <c r="Q34" s="169">
        <f>O34</f>
        <v>1000</v>
      </c>
      <c r="R34" s="170" t="str">
        <f>IF(N34=" ","N/A",'MP-CP'!F399)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","N/A",'MP-CP'!F381)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'MP-CP'!F221</f>
        <v>1000</v>
      </c>
      <c r="P36" s="171">
        <f>'MP-CP'!F241</f>
        <v>3.7753781010324681</v>
      </c>
      <c r="Q36" s="169">
        <f>O36</f>
        <v>1000</v>
      </c>
      <c r="R36" s="170" t="str">
        <f>IF(N36=" ","N/A",'MP-CP'!F401)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","N/A",'MP-CP'!F384)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'MP-CP'!F224</f>
        <v>892.85714285714289</v>
      </c>
      <c r="P38" s="171">
        <f>'MP-CP'!F244</f>
        <v>4.3989090187789888</v>
      </c>
      <c r="Q38" s="169">
        <f>O38</f>
        <v>892.85714285714289</v>
      </c>
      <c r="R38" s="170" t="str">
        <f>IF(N38=" ","N/A ",'MP-CP'!F404)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","N/A",'MP-CP'!F386)</f>
        <v>175.70794893860941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'MP-CP'!F226</f>
        <v>750</v>
      </c>
      <c r="P40" s="171">
        <f>'MP-CP'!F246</f>
        <v>4.2707835757743506</v>
      </c>
      <c r="Q40" s="169">
        <f>O40</f>
        <v>750</v>
      </c>
      <c r="R40" s="170">
        <f>IF(N40=" ","N/A",'MP-CP'!F406)</f>
        <v>116.0069943144009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346</v>
      </c>
      <c r="P41" s="170">
        <f>ROUND('MP-CP'!F26,1)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'MP-CP'!F98</f>
        <v>2.4026404311146345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CONCATENATE('MP-CP'!G20," Rotor Class A" )</f>
        <v>B0100 Rotor Class A</v>
      </c>
      <c r="F2" s="233"/>
      <c r="G2" s="233"/>
      <c r="H2" s="233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'MP-CP'!G104-(P4/'MP-CP'!G22)</f>
        <v>20.732027532187317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227 rpm, 1.1hp and 6.1ft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('MP-CP'!G104*'MP-CP'!G22)-'MP-CP'!G78</f>
        <v>228.26087538242538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('MP-CP'!G106*'MP-CP'!G22)-'MP-CP'!G79</f>
        <v>307.23119624292667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IF('MP-CP'!G25="N/A","N/A",ROUND('MP-CP'!G25,0))</f>
        <v>227</v>
      </c>
      <c r="P6" s="141">
        <f>IF('MP-CP'!G25="N/A","N/A",'MP-CP'!X17)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IF('MP-CP'!G25="N/A",0,'MP-CP'!G108-(P8/'MP-CP'!G22))</f>
        <v>16.090662391398496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IF('MP-CP'!G25="N/A",0,'MP-CP'!G108)</f>
        <v>1000</v>
      </c>
      <c r="P8" s="141">
        <f>IF('MP-CP'!G25="N/A","N/A",('MP-CP'!G108*'MP-CP'!G22)-'MP-CP'!G69)</f>
        <v>307.96362267149226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227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ROUND('MP-CP'!G28,1)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'MP-CP'!G194</f>
        <v>313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","N/A",'MP-CP'!G175)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","N/A",'MP-CP'!G176)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","N/A",'MP-CP'!G196)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","N/A",'MP-CP'!G177)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","N/A",'MP-CP'!G197)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","N/A",'MP-CP'!G179)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","N/A",'MP-CP'!G199)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","N/A",'MP-CP'!G181)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 t="str">
        <f>IF(N38=" ","N/A ",'MP-CP'!G201)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","N/A",'MP-CP'!G186)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227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'MP-CP'!G96</f>
        <v>1.8454750622914395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CONCATENATE('MP-CP'!G20," - Rotor Class A" )</f>
        <v>B0100 -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'MP-CP'!G104-(P4/'MP-CP'!G22)</f>
        <v>20.732027532187317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('MP-CP'!G104*'MP-CP'!G22)-'MP-CP'!G78</f>
        <v>228.26087538242538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('MP-CP'!G106*'MP-CP'!G22)-'MP-CP'!G79</f>
        <v>307.23119624292667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IF('MP-CP'!G25="N/A","N/A",ROUND('MP-CP'!G25,0))</f>
        <v>227</v>
      </c>
      <c r="P6" s="141">
        <f>IF('MP-CP'!G25="N/A","N/A",'MP-CP'!X17)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IF('MP-CP'!G25="N/A",0,'MP-CP'!G108-(P8/'MP-CP'!G22))</f>
        <v>16.090662391398496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IF('MP-CP'!G25="N/A",0,'MP-CP'!G108)</f>
        <v>1000</v>
      </c>
      <c r="P8" s="141">
        <f>IF('MP-CP'!G25="N/A","N/A",('MP-CP'!G108*'MP-CP'!G22)-'MP-CP'!G69)</f>
        <v>307.96362267149226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227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ROUND('MP-CP'!G28,1)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'MP-CP'!G194</f>
        <v>313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","N/A",'MP-CP'!G175)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","N/A",'MP-CP'!G176)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","N/A",'MP-CP'!G177)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","N/A",'MP-CP'!G197)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","N/A",'MP-CP'!G179)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IF('MP-CP'!X19&lt;O19,"5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","N/A",'MP-CP'!G199)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","N/A",'MP-CP'!G181)</f>
        <v>20.732027532187256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>
        <f>IF(N38=" ","N/A ",'MP-CP'!G201)</f>
        <v>228.26087538242538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","N/A",'MP-CP'!G186)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227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'MP-CP'!G96</f>
        <v>1.8454750622914395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CONCATENATE('MP-CP'!G20," Rotor Class B" )</f>
        <v>B0100 Rotor Class B</v>
      </c>
      <c r="F2" s="233"/>
      <c r="G2" s="233"/>
      <c r="H2" s="233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'MP-CP'!G104-(P4/'MP-CP'!G22)</f>
        <v>84.629791110462065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229 rpm, 1.1hp and 6.1ft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('MP-CP'!G104*'MP-CP'!G22)-'MP-CP'!G80</f>
        <v>208.26087538242538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('MP-CP'!G106*'MP-CP'!G22)-'MP-CP'!G82</f>
        <v>290.37405338578384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IF('MP-CP'!G37="N/A","N/A",ROUND('MP-CP'!G37,0))</f>
        <v>229</v>
      </c>
      <c r="P6" s="141">
        <f>IF('MP-CP'!G37="N/A","N/A",'MP-CP'!X17)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IF('MP-CP'!G37="N/A",0,'MP-CP'!G108-(P8/'MP-CP'!G22))</f>
        <v>18.045524531556111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IF('MP-CP'!G37="N/A",0,'MP-CP'!G108)</f>
        <v>1000</v>
      </c>
      <c r="P8" s="141">
        <f>IF('MP-CP'!G37="N/A","N/A",('MP-CP'!G108*'MP-CP'!G22)-'MP-CP'!G70)</f>
        <v>307.35175082162294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229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ROUND('MP-CP'!G40,1)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'MP-CP'!G314</f>
        <v>313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","N/A",'MP-CP'!G295)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","N/A",'MP-CP'!G296)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","N/A",'MP-CP'!G316)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","N/A",'MP-CP'!G297)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","N/A",'MP-CP'!G317)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","N/A",'MP-CP'!G299)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","N/A",'MP-CP'!G319)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","N/A",'MP-CP'!G301)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 t="str">
        <f>IF(N38=" ","N/A ",'MP-CP'!G321)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","N/A",'MP-CP'!G306)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","N/A",'MP-CP'!G326)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229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'MP-CP'!G97</f>
        <v>1.8495317279839552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CONCATENATE('MP-CP'!G20," - Rotor Class B" )</f>
        <v>B0100 -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'MP-CP'!G104-(P4/'MP-CP'!G22)</f>
        <v>84.629791110462065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('MP-CP'!G104*'MP-CP'!G22)-'MP-CP'!G80</f>
        <v>208.26087538242538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('MP-CP'!G106*'MP-CP'!G22)-'MP-CP'!G82</f>
        <v>290.37405338578384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IF('MP-CP'!G37="N/A","N/A",ROUND('MP-CP'!G37,0))</f>
        <v>229</v>
      </c>
      <c r="P6" s="141">
        <f>IF('MP-CP'!G37="N/A","N/A",'MP-CP'!X17)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IF('MP-CP'!G37="N/A",0,'MP-CP'!G108-(P8/'MP-CP'!G22))</f>
        <v>18.045524531556111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IF('MP-CP'!G37="N/A",0,'MP-CP'!G108)</f>
        <v>1000</v>
      </c>
      <c r="P8" s="141">
        <f>IF('MP-CP'!G37="N/A","N/A",('MP-CP'!G108*'MP-CP'!G22)-'MP-CP'!G70)</f>
        <v>307.35175082162294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229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ROUND('MP-CP'!G40,1)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'MP-CP'!G314</f>
        <v>313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","N/A",'MP-CP'!G295)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","N/A",'MP-CP'!G296)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","N/A",'MP-CP'!G297)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","N/A",'MP-CP'!G317)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","N/A",'MP-CP'!G299)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IF('MP-CP'!X19&lt;O19,"5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","N/A",'MP-CP'!G319)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","N/A",'MP-CP'!G301)</f>
        <v>84.629791110462008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>
        <f>IF(N38=" ","N/A ",'MP-CP'!G321)</f>
        <v>208.26087538242538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","N/A",'MP-CP'!G306)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","N/A",'MP-CP'!G326)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229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'MP-CP'!G97</f>
        <v>1.8495317279839552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41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CONCATENATE('MP-CP'!C20," - Rotor Class A" )</f>
        <v>A0015 -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'MP-CP'!C106</f>
        <v>1400</v>
      </c>
      <c r="P2" s="141">
        <f>O2*'MP-CP'!C22</f>
        <v>64.400000000000006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'MP-CP'!C104-(P4/'MP-CP'!C22)</f>
        <v>36.551224490153572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'MP-CP'!C104</f>
        <v>1000</v>
      </c>
      <c r="P4" s="141">
        <f>('MP-CP'!C104*'MP-CP'!C22)-'MP-CP'!C78</f>
        <v>44.318643673452932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('MP-CP'!C106*'MP-CP'!C22)-'MP-CP'!C79</f>
        <v>62.996938287569741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 t="str">
        <f>IF('MP-CP'!C25="N/A","N/A",ROUND('MP-CP'!C25,0))</f>
        <v>N/A</v>
      </c>
      <c r="P6" s="141" t="str">
        <f>IF('MP-CP'!C25="N/A","N/A",'MP-CP'!X17)</f>
        <v>N/A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IF('MP-CP'!C25="N/A",0,'MP-CP'!C108-(P8/'MP-CP'!C22))</f>
        <v>0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IF('MP-CP'!C25="N/A",0,'MP-CP'!C108)</f>
        <v>0</v>
      </c>
      <c r="P8" s="141" t="str">
        <f>IF('MP-CP'!C25="N/A","N/A",('MP-CP'!C108*'MP-CP'!C22)-'MP-CP'!C69)</f>
        <v>N/A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14.166013358286635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 t="str">
        <f>O6</f>
        <v>N/A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 t="e">
        <f>P41</f>
        <v>#VALUE!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 t="e">
        <f>ROUND('MP-CP'!C28,1)</f>
        <v>#VALUE!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IF('MP-CP'!X19&lt;O21,"0","0-max")</f>
        <v>0</v>
      </c>
      <c r="O28" s="169">
        <f>'MP-CP'!C214</f>
        <v>1400</v>
      </c>
      <c r="P28" s="171">
        <f>'MP-CP'!C234</f>
        <v>0.90700810664691922</v>
      </c>
      <c r="Q28" s="169">
        <f>O28</f>
        <v>1400</v>
      </c>
      <c r="R28" s="170">
        <f>'MP-CP'!C194</f>
        <v>64.400000000000006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","N/A",'MP-CP'!C175)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'MP-CP'!C215</f>
        <v>1400</v>
      </c>
      <c r="P30" s="171">
        <f>'MP-CP'!C235</f>
        <v>1.0293681066469191</v>
      </c>
      <c r="Q30" s="169">
        <f>O30</f>
        <v>1400</v>
      </c>
      <c r="R30" s="170" t="str">
        <f>IF(N30=" ","N/A",'MP-CP'!C195)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","N/A",'MP-CP'!C177)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'MP-CP'!C217</f>
        <v>1400</v>
      </c>
      <c r="P32" s="171">
        <f>'MP-CP'!C237</f>
        <v>1.2740881066469192</v>
      </c>
      <c r="Q32" s="169">
        <f>O32</f>
        <v>1400</v>
      </c>
      <c r="R32" s="170" t="str">
        <f>IF(N32=" ","N/A",'MP-CP'!C197)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","N/A",'MP-CP'!C179)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'MP-CP'!C219</f>
        <v>1400</v>
      </c>
      <c r="P34" s="171">
        <f>'MP-CP'!C239</f>
        <v>1.5188081066469192</v>
      </c>
      <c r="Q34" s="169">
        <f>O34</f>
        <v>1400</v>
      </c>
      <c r="R34" s="170" t="str">
        <f>IF(N34=" ","N/A",'MP-CP'!C199)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","N/A",'MP-CP'!C181)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'MP-CP'!C221</f>
        <v>1400</v>
      </c>
      <c r="P36" s="171">
        <f>'MP-CP'!C241</f>
        <v>1.7635281066469191</v>
      </c>
      <c r="Q36" s="169">
        <f>O36</f>
        <v>1400</v>
      </c>
      <c r="R36" s="170" t="str">
        <f>IF(N36=" ","N/A",'MP-CP'!C201)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","N/A",'MP-CP'!C184)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'MP-CP'!C224</f>
        <v>1228.5714285714287</v>
      </c>
      <c r="P38" s="171">
        <f>'MP-CP'!C244</f>
        <v>1.869717318077909</v>
      </c>
      <c r="Q38" s="169">
        <f>O38</f>
        <v>1228.5714285714287</v>
      </c>
      <c r="R38" s="170" t="str">
        <f>IF(N38=" ","N/A ",'MP-CP'!C204)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","N/A",'MP-CP'!C186)</f>
        <v>36.551224490153672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'MP-CP'!C226</f>
        <v>1000</v>
      </c>
      <c r="P40" s="171">
        <f>'MP-CP'!C246</f>
        <v>1.6966629333192278</v>
      </c>
      <c r="Q40" s="169">
        <f>O40</f>
        <v>1000</v>
      </c>
      <c r="R40" s="170">
        <f>IF(N40=" ","N/A",'MP-CP'!C206)</f>
        <v>44.318643673452932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 t="str">
        <f>O6</f>
        <v>N/A</v>
      </c>
      <c r="P41" s="170" t="e">
        <f>ROUND('MP-CP'!C26,1)</f>
        <v>#VALUE!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27"/>
      <c r="Q42" s="127"/>
      <c r="R42" s="141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41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41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E4:H4"/>
    <mergeCell ref="K3:L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CONCATENATE('MP-CP'!G20," Rotor Class C" )</f>
        <v>B0100 Rotor Class C</v>
      </c>
      <c r="F2" s="233"/>
      <c r="G2" s="233"/>
      <c r="H2" s="233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'MP-CP'!G104-(P4/'MP-CP'!G22)</f>
        <v>154.9173310465643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231 rpm, 1.1hp and 6.1ft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('MP-CP'!G104*'MP-CP'!G22)-'MP-CP'!G83</f>
        <v>186.26087538242538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1000</v>
      </c>
      <c r="P5" s="141">
        <f>('MP-CP'!G106*'MP-CP'!G22)-'MP-CP'!G85</f>
        <v>272.94548195721239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IF('MP-CP'!G46="N/A","N/A",ROUND('MP-CP'!G46,0))</f>
        <v>231</v>
      </c>
      <c r="P6" s="141">
        <f>IF('MP-CP'!G46="N/A","N/A",'MP-CP'!X17)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IF('MP-CP'!G46="N/A",0,'MP-CP'!G108-(P8/'MP-CP'!G22))</f>
        <v>19.932977632397865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IF('MP-CP'!G46="N/A",0,'MP-CP'!G108)</f>
        <v>1000</v>
      </c>
      <c r="P8" s="141">
        <f>IF('MP-CP'!G46="N/A","N/A",('MP-CP'!G108*'MP-CP'!G22)-'MP-CP'!G71)</f>
        <v>306.76097800105947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231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ROUND('MP-CP'!G49,1)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'MP-CP'!G394</f>
        <v>313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","N/A",'MP-CP'!G375)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","N/A",'MP-CP'!G376)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","N/A",'MP-CP'!G396)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","N/A",'MP-CP'!G377)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","N/A",'MP-CP'!G397)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","N/A",'MP-CP'!G379)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","N/A",'MP-CP'!G399)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","N/A",'MP-CP'!G381)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 t="str">
        <f>IF(N38=" ","N/A ",'MP-CP'!G401)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","N/A",'MP-CP'!G386)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","N/A",'MP-CP'!G406)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231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'MP-CP'!G98</f>
        <v>1.8534627689969119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CONCATENATE('MP-CP'!G20," - Rotor Class C" )</f>
        <v>B0100 -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'MP-CP'!G106</f>
        <v>1000</v>
      </c>
      <c r="P2" s="141">
        <f>O2*'MP-CP'!G22</f>
        <v>313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'MP-CP'!G104-(P4/'MP-CP'!G22)</f>
        <v>154.9173310465643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'MP-CP'!G104</f>
        <v>750</v>
      </c>
      <c r="P4" s="141">
        <f>('MP-CP'!G104*'MP-CP'!G22)-'MP-CP'!G83</f>
        <v>186.26087538242538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1000</v>
      </c>
      <c r="P5" s="141">
        <f>('MP-CP'!G106*'MP-CP'!G22)-'MP-CP'!G85</f>
        <v>272.94548195721239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IF('MP-CP'!G46="N/A","N/A",ROUND('MP-CP'!G46,0))</f>
        <v>231</v>
      </c>
      <c r="P6" s="141">
        <f>IF('MP-CP'!G46="N/A","N/A",'MP-CP'!X17)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IF('MP-CP'!G46="N/A",0,'MP-CP'!G108-(P8/'MP-CP'!G22))</f>
        <v>19.932977632397865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IF('MP-CP'!G46="N/A",0,'MP-CP'!G108)</f>
        <v>1000</v>
      </c>
      <c r="P8" s="141">
        <f>IF('MP-CP'!G46="N/A","N/A",('MP-CP'!G108*'MP-CP'!G22)-'MP-CP'!G71)</f>
        <v>306.76097800105947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1000</v>
      </c>
      <c r="P10" s="141">
        <f>P2/4.546092</f>
        <v>68.850344427697465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231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1.1000000000000001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ROUND('MP-CP'!G49,1)</f>
        <v>6.1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'MP-CP'!G214</f>
        <v>1000</v>
      </c>
      <c r="P28" s="171">
        <f>'MP-CP'!G234</f>
        <v>1.4210170575404084</v>
      </c>
      <c r="Q28" s="169">
        <f>O28</f>
        <v>1000</v>
      </c>
      <c r="R28" s="170">
        <f>'MP-CP'!G394</f>
        <v>313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","N/A",'MP-CP'!G375)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'MP-CP'!G215</f>
        <v>1000</v>
      </c>
      <c r="P30" s="171">
        <f>'MP-CP'!G235</f>
        <v>2.0157170575404084</v>
      </c>
      <c r="Q30" s="169">
        <f>O30</f>
        <v>1000</v>
      </c>
      <c r="R30" s="170" t="str">
        <f>IF(N30=" ","N/A",'MP-CP'!G395)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","N/A",'MP-CP'!G376)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'MP-CP'!G216</f>
        <v>1000</v>
      </c>
      <c r="P32" s="171">
        <f>'MP-CP'!G236</f>
        <v>2.6104170575404084</v>
      </c>
      <c r="Q32" s="169">
        <f>O32</f>
        <v>1000</v>
      </c>
      <c r="R32" s="170" t="str">
        <f>IF(N32=" ","N/A",'MP-CP'!G396)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","N/A",'MP-CP'!G377)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IF('MP-CP'!X19&lt;O20,"3 / 45"," ")</f>
        <v xml:space="preserve"> </v>
      </c>
      <c r="O34" s="169">
        <f>'MP-CP'!G217</f>
        <v>1000</v>
      </c>
      <c r="P34" s="171">
        <f>'MP-CP'!G237</f>
        <v>3.2051170575404084</v>
      </c>
      <c r="Q34" s="169">
        <f>O34</f>
        <v>1000</v>
      </c>
      <c r="R34" s="170" t="str">
        <f>IF(N34=" ","N/A",'MP-CP'!G397)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","N/A",'MP-CP'!G379)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IF('MP-CP'!X19&lt;O19,"5 / 75"," ")</f>
        <v xml:space="preserve"> </v>
      </c>
      <c r="O36" s="169">
        <f>'MP-CP'!G219</f>
        <v>1000</v>
      </c>
      <c r="P36" s="171">
        <f>'MP-CP'!G239</f>
        <v>4.3945170575404084</v>
      </c>
      <c r="Q36" s="169">
        <f>O36</f>
        <v>1000</v>
      </c>
      <c r="R36" s="170" t="str">
        <f>IF(N36=" ","N/A",'MP-CP'!G399)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","N/A",'MP-CP'!G381)</f>
        <v>154.91733104656424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'MP-CP'!G221</f>
        <v>750</v>
      </c>
      <c r="P38" s="171">
        <f>'MP-CP'!G241</f>
        <v>4.1879377931553057</v>
      </c>
      <c r="Q38" s="169">
        <f>O38</f>
        <v>750</v>
      </c>
      <c r="R38" s="170">
        <f>IF(N38=" ","N/A ",'MP-CP'!G401)</f>
        <v>186.26087538242538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","N/A",'MP-CP'!G386)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'MP-CP'!G226</f>
        <v>0</v>
      </c>
      <c r="P40" s="171">
        <f>'MP-CP'!G246</f>
        <v>0</v>
      </c>
      <c r="Q40" s="169">
        <f>O40</f>
        <v>0</v>
      </c>
      <c r="R40" s="170">
        <f>IF(N40=" ","N/A",'MP-CP'!G406)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231</v>
      </c>
      <c r="P41" s="170">
        <f>ROUND('MP-CP'!G26,1)</f>
        <v>1.1000000000000001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'MP-CP'!G98</f>
        <v>1.8534627689969119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CONCATENATE('MP-CP'!H20," Rotor Class A" )</f>
        <v>C0200 Rotor Class A</v>
      </c>
      <c r="F2" s="233"/>
      <c r="G2" s="233"/>
      <c r="H2" s="233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'MP-CP'!H104-(P4/'MP-CP'!H22)</f>
        <v>18.507071319529018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105 rpm, 0.9hp and 6.6ft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('MP-CP'!H104*'MP-CP'!H22)-'MP-CP'!H78</f>
        <v>368.85609250424687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('MP-CP'!H106*'MP-CP'!H22)-'MP-CP'!H79</f>
        <v>509.74548243106386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IF('MP-CP'!H25="N/A","N/A",ROUND('MP-CP'!H25,0))</f>
        <v>105</v>
      </c>
      <c r="P6" s="141">
        <f>IF('MP-CP'!H25="N/A","N/A",'MP-CP'!X17)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IF('MP-CP'!H25="N/A",0,'MP-CP'!H108-(P8/'MP-CP'!H22))</f>
        <v>9.7287190899869529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IF('MP-CP'!H25="N/A",0,'MP-CP'!H108)</f>
        <v>750</v>
      </c>
      <c r="P8" s="141">
        <f>IF('MP-CP'!H25="N/A","N/A",('MP-CP'!H108*'MP-CP'!H22)-'MP-CP'!H69)</f>
        <v>513.74826895154899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105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ROUND('MP-CP'!H28,1)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'MP-CP'!H194</f>
        <v>520.5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","N/A",'MP-CP'!H175)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","N/A",'MP-CP'!H177)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","N/A",'MP-CP'!H197)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","N/A",'MP-CP'!H179)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","N/A",'MP-CP'!H199)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","N/A",'MP-CP'!H181)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","N/A",'MP-CP'!H201)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","N/A",'MP-CP'!H184)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",'MP-CP'!H204)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","N/A",'MP-CP'!H186)</f>
        <v>18.507071319528951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","N/A",'MP-CP'!H206)</f>
        <v>368.85609250424687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105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'MP-CP'!H96</f>
        <v>2.0168696842964615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CONCATENATE('MP-CP'!H20," - Rotor Class A" )</f>
        <v>C0200 -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'MP-CP'!H104-(P4/'MP-CP'!H22)</f>
        <v>18.507071319529018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('MP-CP'!H104*'MP-CP'!H22)-'MP-CP'!H78</f>
        <v>368.85609250424687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('MP-CP'!H106*'MP-CP'!H22)-'MP-CP'!H79</f>
        <v>509.74548243106386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IF('MP-CP'!H25="N/A","N/A",ROUND('MP-CP'!H25,0))</f>
        <v>105</v>
      </c>
      <c r="P6" s="141">
        <f>IF('MP-CP'!H25="N/A","N/A",'MP-CP'!X17)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IF('MP-CP'!H25="N/A",0,'MP-CP'!H108-(P8/'MP-CP'!H22))</f>
        <v>9.7287190899869529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IF('MP-CP'!H25="N/A",0,'MP-CP'!H108)</f>
        <v>750</v>
      </c>
      <c r="P8" s="141">
        <f>IF('MP-CP'!H25="N/A","N/A",('MP-CP'!H108*'MP-CP'!H22)-'MP-CP'!H69)</f>
        <v>513.74826895154899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105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ROUND('MP-CP'!H28,1)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12*1.341022</f>
        <v>16.092264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'MP-CP'!H194</f>
        <v>520.5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","N/A",'MP-CP'!H175)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","N/A",'MP-CP'!H177)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","N/A",'MP-CP'!H179)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","N/A",'MP-CP'!H181)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","N/A",'MP-CP'!H184)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","N/A",'MP-CP'!H186)</f>
        <v>18.507071319528951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","N/A",'MP-CP'!H206)</f>
        <v>368.85609250424687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105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'MP-CP'!H96</f>
        <v>2.0168696842964615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CONCATENATE('MP-CP'!H20," Rotor Class B" )</f>
        <v>C0200 Rotor Class B</v>
      </c>
      <c r="F2" s="233"/>
      <c r="G2" s="233"/>
      <c r="H2" s="233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'MP-CP'!H104-(P4/'MP-CP'!H22)</f>
        <v>79.025803308001514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106 rpm, 0.9hp and 6.6ft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('MP-CP'!H104*'MP-CP'!H22)-'MP-CP'!H80</f>
        <v>326.85609250424693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('MP-CP'!H106*'MP-CP'!H22)-'MP-CP'!H82</f>
        <v>476.78714909773055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IF('MP-CP'!H37="N/A","N/A",ROUND('MP-CP'!H37,0))</f>
        <v>106</v>
      </c>
      <c r="P6" s="141">
        <f>IF('MP-CP'!H37="N/A","N/A",'MP-CP'!X17)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IF('MP-CP'!H37="N/A",0,'MP-CP'!H108-(P8/'MP-CP'!H22))</f>
        <v>10.947334975686886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IF('MP-CP'!H37="N/A",0,'MP-CP'!H108)</f>
        <v>750</v>
      </c>
      <c r="P8" s="141">
        <f>IF('MP-CP'!H37="N/A","N/A",('MP-CP'!H108*'MP-CP'!H22)-'MP-CP'!H70)</f>
        <v>512.90254952687326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106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ROUND('MP-CP'!H40,1)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'MP-CP'!H314</f>
        <v>520.5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","N/A",'MP-CP'!H295)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","N/A",'MP-CP'!H297)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","N/A",'MP-CP'!H299)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","N/A",'MP-CP'!H301)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","N/A",'MP-CP'!H304)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","N/A",'MP-CP'!H306)</f>
        <v>79.025803308001571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","N/A",'MP-CP'!H326)</f>
        <v>326.85609250424693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106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'MP-CP'!H97</f>
        <v>2.0211932734158431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CONCATENATE('MP-CP'!H20," - Rotor Class B" )</f>
        <v>C0200 -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'MP-CP'!H104-(P4/'MP-CP'!H22)</f>
        <v>79.025803308001514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('MP-CP'!H104*'MP-CP'!H22)-'MP-CP'!H80</f>
        <v>326.85609250424693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('MP-CP'!H106*'MP-CP'!H22)-'MP-CP'!H82</f>
        <v>476.78714909773055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IF('MP-CP'!H37="N/A","N/A",ROUND('MP-CP'!H37,0))</f>
        <v>106</v>
      </c>
      <c r="P6" s="141">
        <f>IF('MP-CP'!H37="N/A","N/A",'MP-CP'!X17)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IF('MP-CP'!H37="N/A",0,'MP-CP'!H108-(P8/'MP-CP'!H22))</f>
        <v>10.947334975686886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IF('MP-CP'!H37="N/A",0,'MP-CP'!H108)</f>
        <v>750</v>
      </c>
      <c r="P8" s="141">
        <f>IF('MP-CP'!H37="N/A","N/A",('MP-CP'!H108*'MP-CP'!H22)-'MP-CP'!H70)</f>
        <v>512.90254952687326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106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ROUND('MP-CP'!H40,1)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'MP-CP'!H314</f>
        <v>520.5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","N/A",'MP-CP'!H295)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","N/A",'MP-CP'!H297)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","N/A",'MP-CP'!H299)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","N/A",'MP-CP'!H301)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","N/A",'MP-CP'!H304)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","N/A",'MP-CP'!H306)</f>
        <v>79.025803308001571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","N/A",'MP-CP'!H326)</f>
        <v>326.85609250424693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106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'MP-CP'!H97</f>
        <v>2.0211932734158431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CONCATENATE('MP-CP'!H20," Rotor Class C" )</f>
        <v>C0200 Rotor Class C</v>
      </c>
      <c r="F2" s="233"/>
      <c r="G2" s="233"/>
      <c r="H2" s="233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'MP-CP'!H104-(P4/'MP-CP'!H22)</f>
        <v>90.553180829615314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106 rpm, 0.9hp and 6.6ft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('MP-CP'!H104*'MP-CP'!H22)-'MP-CP'!H83</f>
        <v>318.85609250424693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('MP-CP'!H106*'MP-CP'!H22)-'MP-CP'!H85</f>
        <v>468.49548243106386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IF('MP-CP'!H46="N/A","N/A",ROUND('MP-CP'!H46,0))</f>
        <v>106</v>
      </c>
      <c r="P6" s="141">
        <f>IF('MP-CP'!H46="N/A","N/A",'MP-CP'!X17)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IF('MP-CP'!H46="N/A",0,'MP-CP'!H108-(P8/'MP-CP'!H22))</f>
        <v>11.47683751230079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IF('MP-CP'!H46="N/A",0,'MP-CP'!H108)</f>
        <v>750</v>
      </c>
      <c r="P8" s="141">
        <f>IF('MP-CP'!H46="N/A","N/A",('MP-CP'!H108*'MP-CP'!H22)-'MP-CP'!H71)</f>
        <v>512.53507476646325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106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ROUND('MP-CP'!H49,1)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'MP-CP'!H394</f>
        <v>520.5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","N/A",'MP-CP'!H375)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","N/A",'MP-CP'!H377)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","N/A",'MP-CP'!H397)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","N/A",'MP-CP'!H379)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","N/A",'MP-CP'!H399)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","N/A",'MP-CP'!H381)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","N/A",'MP-CP'!H401)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","N/A",'MP-CP'!H384)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",'MP-CP'!H404)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","N/A",'MP-CP'!H386)</f>
        <v>90.5531808296154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","N/A",'MP-CP'!H406)</f>
        <v>318.85609250424693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106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'MP-CP'!H98</f>
        <v>2.0230759735585884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CONCATENATE('MP-CP'!H20," - Rotor Class C" )</f>
        <v>C0200 -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'MP-CP'!H106</f>
        <v>750</v>
      </c>
      <c r="P2" s="141">
        <f>O2*'MP-CP'!H22</f>
        <v>520.5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'MP-CP'!H104-(P4/'MP-CP'!H22)</f>
        <v>90.553180829615314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'MP-CP'!H104</f>
        <v>550</v>
      </c>
      <c r="P4" s="141">
        <f>('MP-CP'!H104*'MP-CP'!H22)-'MP-CP'!H83</f>
        <v>318.85609250424693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('MP-CP'!H106*'MP-CP'!H22)-'MP-CP'!H85</f>
        <v>468.49548243106386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IF('MP-CP'!H46="N/A","N/A",ROUND('MP-CP'!H46,0))</f>
        <v>106</v>
      </c>
      <c r="P6" s="141">
        <f>IF('MP-CP'!H46="N/A","N/A",'MP-CP'!X17)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IF('MP-CP'!H46="N/A",0,'MP-CP'!H108-(P8/'MP-CP'!H22))</f>
        <v>11.47683751230079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IF('MP-CP'!H46="N/A",0,'MP-CP'!H108)</f>
        <v>750</v>
      </c>
      <c r="P8" s="141">
        <f>IF('MP-CP'!H46="N/A","N/A",('MP-CP'!H108*'MP-CP'!H22)-'MP-CP'!H71)</f>
        <v>512.53507476646325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114.49394336938188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106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0.9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ROUND('MP-CP'!H49,1)</f>
        <v>6.6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12*1.341022</f>
        <v>16.092264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'MP-CP'!H214</f>
        <v>750</v>
      </c>
      <c r="P28" s="171">
        <f>'MP-CP'!H234</f>
        <v>1.6135467379122099</v>
      </c>
      <c r="Q28" s="169">
        <f>O28</f>
        <v>750</v>
      </c>
      <c r="R28" s="170">
        <f>'MP-CP'!H394</f>
        <v>520.5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","N/A",'MP-CP'!H375)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'MP-CP'!H215</f>
        <v>750</v>
      </c>
      <c r="P30" s="171">
        <f>'MP-CP'!H235</f>
        <v>2.6024967379122099</v>
      </c>
      <c r="Q30" s="169">
        <f>O30</f>
        <v>750</v>
      </c>
      <c r="R30" s="170" t="str">
        <f>IF(N30=" ","N/A",'MP-CP'!H395)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","N/A",'MP-CP'!H377)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'MP-CP'!H217</f>
        <v>750</v>
      </c>
      <c r="P32" s="171">
        <f>'MP-CP'!H237</f>
        <v>4.580396737912209</v>
      </c>
      <c r="Q32" s="169">
        <f>O32</f>
        <v>750</v>
      </c>
      <c r="R32" s="170" t="str">
        <f>IF(N32=" ","N/A",'MP-CP'!H397)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","N/A",'MP-CP'!H379)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'MP-CP'!H219</f>
        <v>750</v>
      </c>
      <c r="P34" s="171">
        <f>'MP-CP'!H239</f>
        <v>6.5582967379122099</v>
      </c>
      <c r="Q34" s="169">
        <f>O34</f>
        <v>750</v>
      </c>
      <c r="R34" s="170" t="str">
        <f>IF(N34=" ","N/A",'MP-CP'!H399)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","N/A",'MP-CP'!H381)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'MP-CP'!H221</f>
        <v>750</v>
      </c>
      <c r="P36" s="171">
        <f>'MP-CP'!H241</f>
        <v>8.5361967379122099</v>
      </c>
      <c r="Q36" s="169">
        <f>O36</f>
        <v>750</v>
      </c>
      <c r="R36" s="170" t="str">
        <f>IF(N36=" ","N/A",'MP-CP'!H401)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","N/A",'MP-CP'!H384)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'MP-CP'!H224</f>
        <v>664.28571428571433</v>
      </c>
      <c r="P38" s="171">
        <f>'MP-CP'!H244</f>
        <v>10.188412825007957</v>
      </c>
      <c r="Q38" s="169">
        <f>O38</f>
        <v>664.28571428571433</v>
      </c>
      <c r="R38" s="170" t="str">
        <f>IF(N38=" ","N/A ",'MP-CP'!H404)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","N/A",'MP-CP'!H386)</f>
        <v>90.5531808296154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'MP-CP'!H226</f>
        <v>550</v>
      </c>
      <c r="P40" s="171">
        <f>'MP-CP'!H246</f>
        <v>9.8860276078022853</v>
      </c>
      <c r="Q40" s="169">
        <f>O40</f>
        <v>550</v>
      </c>
      <c r="R40" s="170">
        <f>IF(N40=" ","N/A",'MP-CP'!H406)</f>
        <v>318.85609250424693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106</v>
      </c>
      <c r="P41" s="170">
        <f>ROUND('MP-CP'!H26,1)</f>
        <v>0.9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'MP-CP'!H98</f>
        <v>2.0230759735585884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CONCATENATE('MP-CP'!I20," Rotor Class A" )</f>
        <v>C0300 Rotor Class A</v>
      </c>
      <c r="F2" s="233"/>
      <c r="G2" s="233"/>
      <c r="H2" s="233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'MP-CP'!I104-(P4/'MP-CP'!I22)</f>
        <v>15.247565178352261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70 rpm, 1hp and 5.5ft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('MP-CP'!I104*'MP-CP'!I22)-'MP-CP'!I78</f>
        <v>601.59648917435368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('MP-CP'!I106*'MP-CP'!I22)-'MP-CP'!I79</f>
        <v>828.92582200971822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IF('MP-CP'!I25="N/A","N/A",ROUND('MP-CP'!I25,0))</f>
        <v>70</v>
      </c>
      <c r="P6" s="141">
        <f>IF('MP-CP'!I25="N/A","N/A",'MP-CP'!X17)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IF('MP-CP'!I25="N/A",0,'MP-CP'!I108-(P8/'MP-CP'!I22))</f>
        <v>11.092463007055926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IF('MP-CP'!I25="N/A",0,'MP-CP'!I108)</f>
        <v>750</v>
      </c>
      <c r="P8" s="141">
        <f>IF('MP-CP'!I25="N/A","N/A",('MP-CP'!I108*'MP-CP'!I22)-'MP-CP'!I69)</f>
        <v>831.2709791170621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70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ROUND('MP-CP'!I28,1)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'MP-CP'!I194</f>
        <v>843.75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","N/A",'MP-CP'!I175)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","N/A",'MP-CP'!I176)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","N/A",'MP-CP'!I196)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","N/A",'MP-CP'!I177)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","N/A",'MP-CP'!I197)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","N/A",'MP-CP'!I179)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","N/A",'MP-CP'!I199)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","N/A",'MP-CP'!I181)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 t="str">
        <f>IF(N38=" ","N/A ",'MP-CP'!I201)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","N/A",'MP-CP'!I186)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70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'MP-CP'!I96</f>
        <v>1.6736563179670525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CONCATENATE('MP-CP'!I20," - Rotor Class A" )</f>
        <v>C0300 -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'MP-CP'!I104-(P4/'MP-CP'!I22)</f>
        <v>15.247565178352261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('MP-CP'!I104*'MP-CP'!I22)-'MP-CP'!I78</f>
        <v>601.59648917435368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('MP-CP'!I106*'MP-CP'!I22)-'MP-CP'!I79</f>
        <v>828.92582200971822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IF('MP-CP'!I25="N/A","N/A",ROUND('MP-CP'!I25,0))</f>
        <v>70</v>
      </c>
      <c r="P6" s="141">
        <f>IF('MP-CP'!I25="N/A","N/A",'MP-CP'!X17)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IF('MP-CP'!I25="N/A",0,'MP-CP'!I108-(P8/'MP-CP'!I22))</f>
        <v>11.092463007055926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IF('MP-CP'!I25="N/A",0,'MP-CP'!I108)</f>
        <v>750</v>
      </c>
      <c r="P8" s="141">
        <f>IF('MP-CP'!I25="N/A","N/A",('MP-CP'!I108*'MP-CP'!I22)-'MP-CP'!I69)</f>
        <v>831.2709791170621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70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ROUND('MP-CP'!I28,1)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12*1.341022</f>
        <v>16.092264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'MP-CP'!I194</f>
        <v>843.75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","N/A",'MP-CP'!I175)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","N/A",'MP-CP'!I176)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","N/A",'MP-CP'!I177)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","N/A",'MP-CP'!I197)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","N/A",'MP-CP'!I179)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","N/A",'MP-CP'!I199)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","N/A",'MP-CP'!I181)</f>
        <v>15.247565178352311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>
        <f>IF(N38=" ","N/A ",'MP-CP'!I201)</f>
        <v>601.59648917435368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","N/A",'MP-CP'!I186)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70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'MP-CP'!I96</f>
        <v>1.6736563179670525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CONCATENATE('MP-CP'!C20," - Rotor Class B" )</f>
        <v>A0015 - Rotor Class B</v>
      </c>
      <c r="F2" s="233"/>
      <c r="G2" s="233"/>
      <c r="H2" s="233"/>
      <c r="J2" s="17"/>
      <c r="M2" s="127"/>
      <c r="N2" s="141" t="s">
        <v>52</v>
      </c>
      <c r="O2" s="141">
        <f>'MP-CP'!C106</f>
        <v>1400</v>
      </c>
      <c r="P2" s="141">
        <f>O2*'MP-CP'!C22</f>
        <v>64.400000000000006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'MP-CP'!C104-(P4/'MP-CP'!C22)</f>
        <v>210.46426796841445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No Selection - Outside of Operating Range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'MP-CP'!C104</f>
        <v>1000</v>
      </c>
      <c r="P4" s="141">
        <f>('MP-CP'!C104*'MP-CP'!C22)-'MP-CP'!C80</f>
        <v>36.318643673452932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('MP-CP'!C106*'MP-CP'!C22)-'MP-CP'!C82</f>
        <v>56.455271620903076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 t="str">
        <f>IF('MP-CP'!C37="N/A","N/A",ROUND('MP-CP'!C37,0))</f>
        <v>N/A</v>
      </c>
      <c r="P6" s="141" t="str">
        <f>IF('MP-CP'!C37="N/A","N/A",'MP-CP'!X17)</f>
        <v>N/A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IF('MP-CP'!C37="N/A",0,'MP-CP'!C108-(P8/'MP-CP'!C22))</f>
        <v>0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IF('MP-CP'!C37="N/A",0,'MP-CP'!C108)</f>
        <v>0</v>
      </c>
      <c r="P8" s="141" t="str">
        <f>IF('MP-CP'!C37="N/A","N/A",('MP-CP'!C108*'MP-CP'!C22)-'MP-CP'!C70)</f>
        <v>N/A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14.166013358286635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 t="str">
        <f>O6</f>
        <v>N/A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 t="e">
        <f>P41</f>
        <v>#VALUE!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 t="e">
        <f>ROUND('MP-CP'!C40,1)</f>
        <v>#VALUE!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'MP-CP'!C214</f>
        <v>1400</v>
      </c>
      <c r="P28" s="171">
        <f>'MP-CP'!C234</f>
        <v>0.90700810664691922</v>
      </c>
      <c r="Q28" s="169">
        <f>O28</f>
        <v>1400</v>
      </c>
      <c r="R28" s="170">
        <f>'MP-CP'!C314</f>
        <v>64.400000000000006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","N/A",'MP-CP'!C295)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'MP-CP'!C215</f>
        <v>1400</v>
      </c>
      <c r="P30" s="171">
        <f>'MP-CP'!C235</f>
        <v>1.0293681066469191</v>
      </c>
      <c r="Q30" s="169">
        <f>O30</f>
        <v>1400</v>
      </c>
      <c r="R30" s="170" t="str">
        <f>IF(N30=" ","N/A",'MP-CP'!C315)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","N/A",'MP-CP'!C297)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'MP-CP'!C217</f>
        <v>1400</v>
      </c>
      <c r="P32" s="171">
        <f>'MP-CP'!C237</f>
        <v>1.2740881066469192</v>
      </c>
      <c r="Q32" s="169">
        <f>O32</f>
        <v>1400</v>
      </c>
      <c r="R32" s="170" t="str">
        <f>IF(N32=" ","N/A",'MP-CP'!C317)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","N/A",'MP-CP'!C299)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'MP-CP'!C219</f>
        <v>1400</v>
      </c>
      <c r="P34" s="171">
        <f>'MP-CP'!C239</f>
        <v>1.5188081066469192</v>
      </c>
      <c r="Q34" s="169">
        <f>O34</f>
        <v>1400</v>
      </c>
      <c r="R34" s="170" t="str">
        <f>IF(N34=" ","N/A",'MP-CP'!C319)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","N/A",'MP-CP'!C301)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'MP-CP'!C221</f>
        <v>1400</v>
      </c>
      <c r="P36" s="171">
        <f>'MP-CP'!C241</f>
        <v>1.7635281066469191</v>
      </c>
      <c r="Q36" s="169">
        <f>O36</f>
        <v>1400</v>
      </c>
      <c r="R36" s="170" t="str">
        <f>IF(N36=" ","N/A",'MP-CP'!C321)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","N/A",'MP-CP'!C304)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'MP-CP'!C224</f>
        <v>1228.5714285714287</v>
      </c>
      <c r="P38" s="171">
        <f>'MP-CP'!C244</f>
        <v>1.869717318077909</v>
      </c>
      <c r="Q38" s="169">
        <f>O38</f>
        <v>1228.5714285714287</v>
      </c>
      <c r="R38" s="170" t="str">
        <f>IF(N38=" ","N/A ",'MP-CP'!C324)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","N/A",'MP-CP'!C306)</f>
        <v>210.46426796841456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'MP-CP'!C226</f>
        <v>1000</v>
      </c>
      <c r="P40" s="171">
        <f>'MP-CP'!C246</f>
        <v>1.6966629333192278</v>
      </c>
      <c r="Q40" s="169">
        <f>O40</f>
        <v>1000</v>
      </c>
      <c r="R40" s="170">
        <f>IF(N40=" ","N/A",'MP-CP'!C326)</f>
        <v>36.318643673452932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 t="str">
        <f>O6</f>
        <v>N/A</v>
      </c>
      <c r="P41" s="170" t="e">
        <f>ROUND('MP-CP'!C26,1)</f>
        <v>#VALUE!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 t="e">
        <f>'MP-CP'!C97</f>
        <v>#VALUE!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CONCATENATE('MP-CP'!I20," Rotor Class B" )</f>
        <v>C0300 Rotor Class B</v>
      </c>
      <c r="F2" s="233"/>
      <c r="G2" s="233"/>
      <c r="H2" s="233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'MP-CP'!I104-(P4/'MP-CP'!I22)</f>
        <v>36.580898511685632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70 rpm, 1hp and 5.5ft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('MP-CP'!I104*'MP-CP'!I22)-'MP-CP'!I80</f>
        <v>577.59648917435368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('MP-CP'!I106*'MP-CP'!I22)-'MP-CP'!I82</f>
        <v>808.92582200971822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IF('MP-CP'!I37="N/A","N/A",ROUND('MP-CP'!I37,0))</f>
        <v>70</v>
      </c>
      <c r="P6" s="141">
        <f>IF('MP-CP'!I37="N/A","N/A",'MP-CP'!X17)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IF('MP-CP'!I37="N/A",0,'MP-CP'!I108-(P8/'MP-CP'!I22))</f>
        <v>11.73012255941012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IF('MP-CP'!I37="N/A",0,'MP-CP'!I108)</f>
        <v>750</v>
      </c>
      <c r="P8" s="141">
        <f>IF('MP-CP'!I37="N/A","N/A",('MP-CP'!I108*'MP-CP'!I22)-'MP-CP'!I70)</f>
        <v>830.55361212066362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70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ROUND('MP-CP'!I40,1)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'MP-CP'!I314</f>
        <v>843.75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","N/A",'MP-CP'!I295)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","N/A",'MP-CP'!I296)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","N/A",'MP-CP'!I297)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","N/A",'MP-CP'!I317)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","N/A",'MP-CP'!I299)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","N/A",'MP-CP'!I319)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","N/A",'MP-CP'!I301)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 t="str">
        <f>IF(N38=" ","N/A ",'MP-CP'!I321)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","N/A",'MP-CP'!I306)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","N/A",'MP-CP'!I326)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70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'MP-CP'!I97</f>
        <v>1.6749464434335466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CONCATENATE('MP-CP'!I20," - Rotor Class B" )</f>
        <v>C0300 -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'MP-CP'!I104-(P4/'MP-CP'!I22)</f>
        <v>36.580898511685632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('MP-CP'!I104*'MP-CP'!I22)-'MP-CP'!I80</f>
        <v>577.59648917435368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('MP-CP'!I106*'MP-CP'!I22)-'MP-CP'!I82</f>
        <v>808.92582200971822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IF('MP-CP'!I37="N/A","N/A",ROUND('MP-CP'!I37,0))</f>
        <v>70</v>
      </c>
      <c r="P6" s="141">
        <f>IF('MP-CP'!I37="N/A","N/A",'MP-CP'!X17)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IF('MP-CP'!I37="N/A",0,'MP-CP'!I108-(P8/'MP-CP'!I22))</f>
        <v>11.73012255941012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IF('MP-CP'!I37="N/A",0,'MP-CP'!I108)</f>
        <v>750</v>
      </c>
      <c r="P8" s="141">
        <f>IF('MP-CP'!I37="N/A","N/A",('MP-CP'!I108*'MP-CP'!I22)-'MP-CP'!I70)</f>
        <v>830.55361212066362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70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ROUND('MP-CP'!I40,1)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'MP-CP'!I314</f>
        <v>843.75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","N/A",'MP-CP'!I295)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","N/A",'MP-CP'!I296)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","N/A",'MP-CP'!I297)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","N/A",'MP-CP'!I317)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","N/A",'MP-CP'!I299)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","N/A",'MP-CP'!I319)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","N/A",'MP-CP'!I301)</f>
        <v>36.580898511685646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>
        <f>IF(N38=" ","N/A ",'MP-CP'!I321)</f>
        <v>577.59648917435368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","N/A",'MP-CP'!I306)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","N/A",'MP-CP'!I326)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70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'MP-CP'!I97</f>
        <v>1.6749464434335466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CONCATENATE('MP-CP'!I20," Rotor Class C" )</f>
        <v>C0300 Rotor Class C</v>
      </c>
      <c r="F2" s="233"/>
      <c r="G2" s="233"/>
      <c r="H2" s="233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'MP-CP'!I104-(P4/'MP-CP'!I22)</f>
        <v>73.025342956130089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72 rpm, 1hp and 5.5ft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('MP-CP'!I104*'MP-CP'!I22)-'MP-CP'!I83</f>
        <v>536.59648917435368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750</v>
      </c>
      <c r="P5" s="141">
        <f>('MP-CP'!I106*'MP-CP'!I22)-'MP-CP'!I85</f>
        <v>771.92582200971822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IF('MP-CP'!I46="N/A","N/A",ROUND('MP-CP'!I46,0))</f>
        <v>72</v>
      </c>
      <c r="P6" s="141">
        <f>IF('MP-CP'!I46="N/A","N/A",'MP-CP'!X17)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IF('MP-CP'!I46="N/A",0,'MP-CP'!I108-(P8/'MP-CP'!I22))</f>
        <v>13.005441664118621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IF('MP-CP'!I46="N/A",0,'MP-CP'!I108)</f>
        <v>750</v>
      </c>
      <c r="P8" s="141">
        <f>IF('MP-CP'!I46="N/A","N/A",('MP-CP'!I108*'MP-CP'!I22)-'MP-CP'!I71)</f>
        <v>829.11887812786654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72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ROUND('MP-CP'!I49,1)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'MP-CP'!I394</f>
        <v>843.75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","N/A",'MP-CP'!I375)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","N/A",'MP-CP'!I376)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","N/A",'MP-CP'!I377)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","N/A",'MP-CP'!I397)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","N/A",'MP-CP'!I379)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","N/A",'MP-CP'!I399)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","N/A",'MP-CP'!I381)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 t="str">
        <f>IF(N38=" ","N/A ",'MP-CP'!I401)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","N/A",'MP-CP'!I386)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","N/A",'MP-CP'!I406)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72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'MP-CP'!I98</f>
        <v>1.6775333644926995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CONCATENATE('MP-CP'!I20," - Rotor Class C" )</f>
        <v>C0300 -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'MP-CP'!I106</f>
        <v>750</v>
      </c>
      <c r="P2" s="141">
        <f>O2*'MP-CP'!I22</f>
        <v>843.75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'MP-CP'!I104-(P4/'MP-CP'!I22)</f>
        <v>73.025342956130089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'MP-CP'!I104</f>
        <v>550</v>
      </c>
      <c r="P4" s="141">
        <f>('MP-CP'!I104*'MP-CP'!I22)-'MP-CP'!I83</f>
        <v>536.59648917435368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750</v>
      </c>
      <c r="P5" s="141">
        <f>('MP-CP'!I106*'MP-CP'!I22)-'MP-CP'!I85</f>
        <v>771.92582200971822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IF('MP-CP'!I46="N/A","N/A",ROUND('MP-CP'!I46,0))</f>
        <v>72</v>
      </c>
      <c r="P6" s="141">
        <f>IF('MP-CP'!I46="N/A","N/A",'MP-CP'!X17)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IF('MP-CP'!I46="N/A",0,'MP-CP'!I108-(P8/'MP-CP'!I22))</f>
        <v>13.005441664118621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IF('MP-CP'!I46="N/A",0,'MP-CP'!I108)</f>
        <v>750</v>
      </c>
      <c r="P8" s="141">
        <f>IF('MP-CP'!I46="N/A","N/A",('MP-CP'!I108*'MP-CP'!I22)-'MP-CP'!I71)</f>
        <v>829.11887812786654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750</v>
      </c>
      <c r="P10" s="141">
        <f>P2/4.546092</f>
        <v>185.5989716002228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72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ROUND('MP-CP'!I49,1)</f>
        <v>5.5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'MP-CP'!I214</f>
        <v>750</v>
      </c>
      <c r="P28" s="171">
        <f>'MP-CP'!I234</f>
        <v>2.2528072120334817</v>
      </c>
      <c r="Q28" s="169">
        <f>O28</f>
        <v>750</v>
      </c>
      <c r="R28" s="170">
        <f>'MP-CP'!I394</f>
        <v>843.75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","N/A",'MP-CP'!I375)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'MP-CP'!I215</f>
        <v>750</v>
      </c>
      <c r="P30" s="171">
        <f>'MP-CP'!I235</f>
        <v>3.8559322120334816</v>
      </c>
      <c r="Q30" s="169">
        <f>O30</f>
        <v>750</v>
      </c>
      <c r="R30" s="170" t="str">
        <f>IF(N30=" ","N/A",'MP-CP'!I395)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","N/A",'MP-CP'!I376)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'MP-CP'!I216</f>
        <v>750</v>
      </c>
      <c r="P32" s="171">
        <f>'MP-CP'!I236</f>
        <v>5.459057212033481</v>
      </c>
      <c r="Q32" s="169">
        <f>O32</f>
        <v>750</v>
      </c>
      <c r="R32" s="170" t="str">
        <f>IF(N32=" ","N/A",'MP-CP'!I396)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","N/A",'MP-CP'!I377)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'MP-CP'!I217</f>
        <v>750</v>
      </c>
      <c r="P34" s="171">
        <f>'MP-CP'!I237</f>
        <v>7.0621822120334814</v>
      </c>
      <c r="Q34" s="169">
        <f>O34</f>
        <v>750</v>
      </c>
      <c r="R34" s="170" t="str">
        <f>IF(N34=" ","N/A",'MP-CP'!I397)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","N/A",'MP-CP'!I379)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'MP-CP'!I219</f>
        <v>750</v>
      </c>
      <c r="P36" s="171">
        <f>'MP-CP'!I239</f>
        <v>10.268432212033481</v>
      </c>
      <c r="Q36" s="169">
        <f>O36</f>
        <v>750</v>
      </c>
      <c r="R36" s="170" t="str">
        <f>IF(N36=" ","N/A",'MP-CP'!I399)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","N/A",'MP-CP'!I381)</f>
        <v>73.025342956130089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'MP-CP'!I221</f>
        <v>550</v>
      </c>
      <c r="P38" s="171">
        <f>'MP-CP'!I241</f>
        <v>9.8814336221578873</v>
      </c>
      <c r="Q38" s="169">
        <f>O38</f>
        <v>550</v>
      </c>
      <c r="R38" s="170">
        <f>IF(N38=" ","N/A ",'MP-CP'!I401)</f>
        <v>536.59648917435368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","N/A",'MP-CP'!I386)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'MP-CP'!I226</f>
        <v>0</v>
      </c>
      <c r="P40" s="171">
        <f>'MP-CP'!I246</f>
        <v>0</v>
      </c>
      <c r="Q40" s="169">
        <f>O40</f>
        <v>0</v>
      </c>
      <c r="R40" s="170">
        <f>IF(N40=" ","N/A",'MP-CP'!I406)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72</v>
      </c>
      <c r="P41" s="170">
        <f>ROUND('MP-CP'!I26,1)</f>
        <v>1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'MP-CP'!I98</f>
        <v>1.6775333644926995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CONCATENATE('MP-CP'!J20," Rotor Class A" )</f>
        <v>D0500 Rotor Class A</v>
      </c>
      <c r="F2" s="233"/>
      <c r="G2" s="233"/>
      <c r="H2" s="233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'MP-CP'!J104-(P4/'MP-CP'!J22)</f>
        <v>12.068644762939414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43 rpm, 1.2hp and 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('MP-CP'!J104*'MP-CP'!J22)-'MP-CP'!J78</f>
        <v>914.27643942670909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('MP-CP'!J106*'MP-CP'!J22)-'MP-CP'!J79</f>
        <v>1240.9644557602728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IF('MP-CP'!J25="N/A","N/A",ROUND('MP-CP'!J25,0))</f>
        <v>43</v>
      </c>
      <c r="P6" s="141">
        <f>IF('MP-CP'!J25="N/A","N/A",'MP-CP'!X17)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IF('MP-CP'!J25="N/A",0,'MP-CP'!J108-(P8/'MP-CP'!J22))</f>
        <v>6.8478071780392611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IF('MP-CP'!J25="N/A",0,'MP-CP'!J108)</f>
        <v>700</v>
      </c>
      <c r="P8" s="141">
        <f>IF('MP-CP'!J25="N/A","N/A",('MP-CP'!J108*'MP-CP'!J22)-'MP-CP'!J69)</f>
        <v>1247.6739470795294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43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ROUND('MP-CP'!J28,1)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1300</v>
      </c>
      <c r="P22" s="170">
        <f>O22/3.785412</f>
        <v>343.42364846944002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35*1.341022</f>
        <v>46.935769999999998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'MP-CP'!J194</f>
        <v>1260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","N/A",'MP-CP'!J175)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","N/A",'MP-CP'!J177)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","N/A",'MP-CP'!J197)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","N/A",'MP-CP'!J179)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","N/A",'MP-CP'!J199)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","N/A",'MP-CP'!J181)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","N/A",'MP-CP'!J201)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","N/A",'MP-CP'!J184)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",'MP-CP'!J204)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","N/A",'MP-CP'!J186)</f>
        <v>12.068644762939373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","N/A",'MP-CP'!J206)</f>
        <v>914.27643942670909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43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'MP-CP'!J96</f>
        <v>1.813776781541552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CONCATENATE('MP-CP'!J20," - Rotor Class A" )</f>
        <v>D0500 -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'MP-CP'!J104-(P4/'MP-CP'!J22)</f>
        <v>12.068644762939414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('MP-CP'!J104*'MP-CP'!J22)-'MP-CP'!J78</f>
        <v>914.27643942670909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('MP-CP'!J106*'MP-CP'!J22)-'MP-CP'!J79</f>
        <v>1240.9644557602728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IF('MP-CP'!J25="N/A","N/A",ROUND('MP-CP'!J25,0))</f>
        <v>43</v>
      </c>
      <c r="P6" s="141">
        <f>IF('MP-CP'!J25="N/A","N/A",'MP-CP'!X17)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IF('MP-CP'!J25="N/A",0,'MP-CP'!J108-(P8/'MP-CP'!J22))</f>
        <v>6.8478071780392611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IF('MP-CP'!J25="N/A",0,'MP-CP'!J108)</f>
        <v>700</v>
      </c>
      <c r="P8" s="141">
        <f>IF('MP-CP'!J25="N/A","N/A",('MP-CP'!J108*'MP-CP'!J22)-'MP-CP'!J69)</f>
        <v>1247.6739470795294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43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ROUND('MP-CP'!J28,1)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1300</v>
      </c>
      <c r="P22" s="170">
        <f>O22/3.785412</f>
        <v>343.42364846944002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35*1.341022</f>
        <v>46.935769999999998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'MP-CP'!J194</f>
        <v>1260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","N/A",'MP-CP'!J175)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","N/A",'MP-CP'!J177)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","N/A",'MP-CP'!J179)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","N/A",'MP-CP'!J181)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","N/A",'MP-CP'!J184)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","N/A",'MP-CP'!J186)</f>
        <v>12.068644762939373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","N/A",'MP-CP'!J206)</f>
        <v>914.27643942670909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43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'MP-CP'!J96</f>
        <v>1.813776781541552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CONCATENATE('MP-CP'!J20," Rotor Class B" )</f>
        <v>D0500 Rotor Class B</v>
      </c>
      <c r="F2" s="233"/>
      <c r="G2" s="233"/>
      <c r="H2" s="233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'MP-CP'!J104-(P4/'MP-CP'!J22)</f>
        <v>50.957533651828271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44 rpm, 1.2hp and 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('MP-CP'!J104*'MP-CP'!J22)-'MP-CP'!J80</f>
        <v>844.27643942670909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('MP-CP'!J106*'MP-CP'!J22)-'MP-CP'!J82</f>
        <v>1187.0061224269396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IF('MP-CP'!J37="N/A","N/A",ROUND('MP-CP'!J37,0))</f>
        <v>44</v>
      </c>
      <c r="P6" s="141">
        <f>IF('MP-CP'!J37="N/A","N/A",'MP-CP'!X17)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IF('MP-CP'!J37="N/A",0,'MP-CP'!J108-(P8/'MP-CP'!J22))</f>
        <v>7.5755283277081844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IF('MP-CP'!J37="N/A",0,'MP-CP'!J108)</f>
        <v>700</v>
      </c>
      <c r="P8" s="141">
        <f>IF('MP-CP'!J37="N/A","N/A",('MP-CP'!J108*'MP-CP'!J22)-'MP-CP'!J70)</f>
        <v>1246.3640490101252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44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ROUND('MP-CP'!J40,1)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'MP-CP'!J314</f>
        <v>1260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","N/A",'MP-CP'!J295)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","N/A",'MP-CP'!J297)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","N/A",'MP-CP'!J317)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","N/A",'MP-CP'!J299)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","N/A",'MP-CP'!J319)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","N/A",'MP-CP'!J301)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","N/A",'MP-CP'!J321)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","N/A",'MP-CP'!J304)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",'MP-CP'!J324)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","N/A",'MP-CP'!J306)</f>
        <v>50.957533651828257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","N/A",'MP-CP'!J326)</f>
        <v>844.27643942670909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44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'MP-CP'!J97</f>
        <v>1.8159562050150886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CONCATENATE('MP-CP'!J20," - Rotor Class B" )</f>
        <v>D0500 -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'MP-CP'!J104-(P4/'MP-CP'!J22)</f>
        <v>50.957533651828271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('MP-CP'!J104*'MP-CP'!J22)-'MP-CP'!J80</f>
        <v>844.27643942670909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('MP-CP'!J106*'MP-CP'!J22)-'MP-CP'!J82</f>
        <v>1187.0061224269396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IF('MP-CP'!J37="N/A","N/A",ROUND('MP-CP'!J37,0))</f>
        <v>44</v>
      </c>
      <c r="P6" s="141">
        <f>IF('MP-CP'!J37="N/A","N/A",'MP-CP'!X17)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IF('MP-CP'!J37="N/A",0,'MP-CP'!J108-(P8/'MP-CP'!J22))</f>
        <v>7.5755283277081844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IF('MP-CP'!J37="N/A",0,'MP-CP'!J108)</f>
        <v>700</v>
      </c>
      <c r="P8" s="141">
        <f>IF('MP-CP'!J37="N/A","N/A",('MP-CP'!J108*'MP-CP'!J22)-'MP-CP'!J70)</f>
        <v>1246.3640490101252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44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ROUND('MP-CP'!J40,1)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'MP-CP'!J314</f>
        <v>1260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","N/A",'MP-CP'!J295)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","N/A",'MP-CP'!J297)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","N/A",'MP-CP'!J299)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","N/A",'MP-CP'!J301)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","N/A",'MP-CP'!J304)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","N/A",'MP-CP'!J306)</f>
        <v>50.957533651828257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","N/A",'MP-CP'!J326)</f>
        <v>844.27643942670909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44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'MP-CP'!J97</f>
        <v>1.8159562050150886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CONCATENATE('MP-CP'!J20," Rotor Class C" )</f>
        <v>D0500 Rotor Class C</v>
      </c>
      <c r="F2" s="233"/>
      <c r="G2" s="233"/>
      <c r="H2" s="233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'MP-CP'!J104-(P4/'MP-CP'!J22)</f>
        <v>73.1797558740505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45 rpm, 1.2hp and 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('MP-CP'!J104*'MP-CP'!J22)-'MP-CP'!J83</f>
        <v>804.27643942670909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('MP-CP'!J106*'MP-CP'!J22)-'MP-CP'!J85</f>
        <v>1154.2977890936063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IF('MP-CP'!J46="N/A","N/A",ROUND('MP-CP'!J46,0))</f>
        <v>45</v>
      </c>
      <c r="P6" s="141">
        <f>IF('MP-CP'!J46="N/A","N/A",'MP-CP'!X17)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IF('MP-CP'!J46="N/A",0,'MP-CP'!J108-(P8/'MP-CP'!J22))</f>
        <v>8.0981200257925821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IF('MP-CP'!J46="N/A",0,'MP-CP'!J108)</f>
        <v>700</v>
      </c>
      <c r="P8" s="141">
        <f>IF('MP-CP'!J46="N/A","N/A",('MP-CP'!J108*'MP-CP'!J22)-'MP-CP'!J71)</f>
        <v>1245.4233839535734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45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ROUND('MP-CP'!J49,1)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'MP-CP'!J394</f>
        <v>1260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","N/A",'MP-CP'!J375)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","N/A",'MP-CP'!J377)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","N/A",'MP-CP'!J397)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","N/A",'MP-CP'!J379)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","N/A",'MP-CP'!J399)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","N/A",'MP-CP'!J381)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","N/A",'MP-CP'!J401)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","N/A",'MP-CP'!J384)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",'MP-CP'!J404)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","N/A",'MP-CP'!J386)</f>
        <v>73.179755874050485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","N/A",'MP-CP'!J406)</f>
        <v>804.27643942670909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45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'MP-CP'!J98</f>
        <v>1.8175241399975244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CONCATENATE('MP-CP'!J20," - Rotor Class B" )</f>
        <v>D0500 -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'MP-CP'!J106</f>
        <v>700</v>
      </c>
      <c r="P2" s="141">
        <f>O2*'MP-CP'!J22</f>
        <v>1260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'MP-CP'!J104-(P4/'MP-CP'!J22)</f>
        <v>73.1797558740505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'MP-CP'!J104</f>
        <v>520</v>
      </c>
      <c r="P4" s="141">
        <f>('MP-CP'!J104*'MP-CP'!J22)-'MP-CP'!J83</f>
        <v>804.27643942670909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('MP-CP'!J106*'MP-CP'!J22)-'MP-CP'!J85</f>
        <v>1154.2977890936063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IF('MP-CP'!J46="N/A","N/A",ROUND('MP-CP'!J46,0))</f>
        <v>45</v>
      </c>
      <c r="P6" s="141">
        <f>IF('MP-CP'!J46="N/A","N/A",'MP-CP'!X17)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IF('MP-CP'!J46="N/A",0,'MP-CP'!J108-(P8/'MP-CP'!J22))</f>
        <v>8.0981200257925821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IF('MP-CP'!J46="N/A",0,'MP-CP'!J108)</f>
        <v>700</v>
      </c>
      <c r="P8" s="141">
        <f>IF('MP-CP'!J46="N/A","N/A",('MP-CP'!J108*'MP-CP'!J22)-'MP-CP'!J71)</f>
        <v>1245.4233839535734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277.16113092299935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45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1.2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ROUND('MP-CP'!J49,1)</f>
        <v>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12*1.341022</f>
        <v>16.092264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'MP-CP'!J214</f>
        <v>700</v>
      </c>
      <c r="P28" s="171">
        <f>'MP-CP'!J234</f>
        <v>6.3554324981381658</v>
      </c>
      <c r="Q28" s="169">
        <f>O28</f>
        <v>700</v>
      </c>
      <c r="R28" s="170">
        <f>'MP-CP'!J394</f>
        <v>1260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","N/A",'MP-CP'!J375)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'MP-CP'!J215</f>
        <v>700</v>
      </c>
      <c r="P30" s="171">
        <f>'MP-CP'!J235</f>
        <v>8.7494324981381659</v>
      </c>
      <c r="Q30" s="169">
        <f>O30</f>
        <v>700</v>
      </c>
      <c r="R30" s="170" t="str">
        <f>IF(N30=" ","N/A",'MP-CP'!J395)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","N/A",'MP-CP'!J377)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'MP-CP'!J217</f>
        <v>700</v>
      </c>
      <c r="P32" s="171">
        <f>'MP-CP'!J237</f>
        <v>13.537432498138164</v>
      </c>
      <c r="Q32" s="169">
        <f>O32</f>
        <v>700</v>
      </c>
      <c r="R32" s="170" t="str">
        <f>IF(N32=" ","N/A",'MP-CP'!J397)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","N/A",'MP-CP'!J379)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'MP-CP'!J219</f>
        <v>700</v>
      </c>
      <c r="P34" s="171">
        <f>'MP-CP'!J239</f>
        <v>18.325432498138166</v>
      </c>
      <c r="Q34" s="169">
        <f>O34</f>
        <v>700</v>
      </c>
      <c r="R34" s="170" t="str">
        <f>IF(N34=" ","N/A",'MP-CP'!J399)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","N/A",'MP-CP'!J381)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'MP-CP'!J221</f>
        <v>700</v>
      </c>
      <c r="P36" s="171">
        <f>'MP-CP'!J241</f>
        <v>23.113432498138163</v>
      </c>
      <c r="Q36" s="169">
        <f>O36</f>
        <v>700</v>
      </c>
      <c r="R36" s="170" t="str">
        <f>IF(N36=" ","N/A",'MP-CP'!J401)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","N/A",'MP-CP'!J384)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'MP-CP'!J224</f>
        <v>622.85714285714289</v>
      </c>
      <c r="P38" s="171">
        <f>'MP-CP'!J244</f>
        <v>26.956752182016821</v>
      </c>
      <c r="Q38" s="169">
        <f>O38</f>
        <v>622.85714285714289</v>
      </c>
      <c r="R38" s="170" t="str">
        <f>IF(N38=" ","N/A ",'MP-CP'!J404)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","N/A",'MP-CP'!J386)</f>
        <v>73.179755874050485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'MP-CP'!J226</f>
        <v>520</v>
      </c>
      <c r="P40" s="171">
        <f>'MP-CP'!J246</f>
        <v>26.06197842718835</v>
      </c>
      <c r="Q40" s="169">
        <f>O40</f>
        <v>520</v>
      </c>
      <c r="R40" s="170">
        <f>IF(N40=" ","N/A",'MP-CP'!J406)</f>
        <v>804.27643942670909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45</v>
      </c>
      <c r="P41" s="170">
        <f>ROUND('MP-CP'!J26,1)</f>
        <v>1.2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'MP-CP'!J98</f>
        <v>1.8175241399975244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CONCATENATE('MP-CP'!C20," - Rotor Class B" )</f>
        <v>A0015 -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'MP-CP'!C106</f>
        <v>1400</v>
      </c>
      <c r="P2" s="141">
        <f>O2*'MP-CP'!C22</f>
        <v>64.400000000000006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'MP-CP'!C104-(P4/'MP-CP'!C22)</f>
        <v>210.46426796841445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'MP-CP'!C104</f>
        <v>1000</v>
      </c>
      <c r="P4" s="141">
        <f>('MP-CP'!C104*'MP-CP'!C22)-'MP-CP'!C80</f>
        <v>36.318643673452932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('MP-CP'!C106*'MP-CP'!C22)-'MP-CP'!C82</f>
        <v>56.455271620903076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 t="str">
        <f>IF('MP-CP'!C37="N/A","N/A",ROUND('MP-CP'!C37,0))</f>
        <v>N/A</v>
      </c>
      <c r="P6" s="141" t="str">
        <f>IF('MP-CP'!C37="N/A","N/A",'MP-CP'!X17)</f>
        <v>N/A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IF('MP-CP'!C37="N/A",0,'MP-CP'!C108-(P8/'MP-CP'!C22))</f>
        <v>0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IF('MP-CP'!C37="N/A",0,'MP-CP'!C108)</f>
        <v>0</v>
      </c>
      <c r="P8" s="141" t="str">
        <f>IF('MP-CP'!C37="N/A","N/A",('MP-CP'!C108*'MP-CP'!C22)-'MP-CP'!C70)</f>
        <v>N/A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14.166013358286635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 t="str">
        <f>O6</f>
        <v>N/A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 t="e">
        <f>P41</f>
        <v>#VALUE!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 t="e">
        <f>ROUND('MP-CP'!C28,1)</f>
        <v>#VALUE!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'MP-CP'!C214</f>
        <v>1400</v>
      </c>
      <c r="P28" s="171">
        <f>'MP-CP'!C234</f>
        <v>0.90700810664691922</v>
      </c>
      <c r="Q28" s="169">
        <f>O28</f>
        <v>1400</v>
      </c>
      <c r="R28" s="170">
        <f>'MP-CP'!C314</f>
        <v>64.400000000000006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","N/A",'MP-CP'!C295)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'MP-CP'!C215</f>
        <v>1400</v>
      </c>
      <c r="P30" s="171">
        <f>'MP-CP'!C235</f>
        <v>1.0293681066469191</v>
      </c>
      <c r="Q30" s="169">
        <f>O30</f>
        <v>1400</v>
      </c>
      <c r="R30" s="170" t="str">
        <f>IF(N30=" ","N/A",'MP-CP'!C315)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","N/A",'MP-CP'!C297)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'MP-CP'!C217</f>
        <v>1400</v>
      </c>
      <c r="P32" s="171">
        <f>'MP-CP'!C237</f>
        <v>1.2740881066469192</v>
      </c>
      <c r="Q32" s="169">
        <f>O32</f>
        <v>1400</v>
      </c>
      <c r="R32" s="170" t="str">
        <f>IF(N32=" ","N/A",'MP-CP'!C317)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","N/A",'MP-CP'!C299)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'MP-CP'!C219</f>
        <v>1400</v>
      </c>
      <c r="P34" s="171">
        <f>'MP-CP'!C239</f>
        <v>1.5188081066469192</v>
      </c>
      <c r="Q34" s="169">
        <f>O34</f>
        <v>1400</v>
      </c>
      <c r="R34" s="170" t="str">
        <f>IF(N34=" ","N/A",'MP-CP'!C319)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","N/A",'MP-CP'!C301)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'MP-CP'!C221</f>
        <v>1400</v>
      </c>
      <c r="P36" s="171">
        <f>'MP-CP'!C241</f>
        <v>1.7635281066469191</v>
      </c>
      <c r="Q36" s="169">
        <f>O36</f>
        <v>1400</v>
      </c>
      <c r="R36" s="170" t="str">
        <f>IF(N36=" ","N/A",'MP-CP'!C321)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","N/A",'MP-CP'!C304)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'MP-CP'!C224</f>
        <v>1228.5714285714287</v>
      </c>
      <c r="P38" s="171">
        <f>'MP-CP'!C244</f>
        <v>1.869717318077909</v>
      </c>
      <c r="Q38" s="169">
        <f>O38</f>
        <v>1228.5714285714287</v>
      </c>
      <c r="R38" s="170" t="str">
        <f>IF(N38=" ","N/A ",'MP-CP'!C324)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","N/A",'MP-CP'!C306)</f>
        <v>210.46426796841456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'MP-CP'!C226</f>
        <v>1000</v>
      </c>
      <c r="P40" s="171">
        <f>'MP-CP'!C246</f>
        <v>1.6966629333192278</v>
      </c>
      <c r="Q40" s="169">
        <f>O40</f>
        <v>1000</v>
      </c>
      <c r="R40" s="170">
        <f>IF(N40=" ","N/A",'MP-CP'!C326)</f>
        <v>36.318643673452932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 t="str">
        <f>O6</f>
        <v>N/A</v>
      </c>
      <c r="P41" s="170" t="e">
        <f>ROUND('MP-CP'!C26,1)</f>
        <v>#VALUE!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 t="e">
        <f>'MP-CP'!C96</f>
        <v>#VALUE!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CONCATENATE('MP-CP'!K20," Rotor Class A" )</f>
        <v>D0700 Rotor Class A</v>
      </c>
      <c r="F2" s="233"/>
      <c r="G2" s="233"/>
      <c r="H2" s="233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'MP-CP'!K104-(P4/'MP-CP'!K22)</f>
        <v>10.37904124781727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34 rpm, 1.3hp and 5.4ft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('MP-CP'!K104*'MP-CP'!K22)-'MP-CP'!K78</f>
        <v>1274.0523968804569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('MP-CP'!K106*'MP-CP'!K22)-'MP-CP'!K79</f>
        <v>1727.569183085154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IF('MP-CP'!K25="N/A","N/A",ROUND('MP-CP'!K25,0))</f>
        <v>34</v>
      </c>
      <c r="P6" s="141">
        <f>IF('MP-CP'!K25="N/A","N/A",'MP-CP'!X17)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IF('MP-CP'!K25="N/A",0,'MP-CP'!K108-(P8/'MP-CP'!K22))</f>
        <v>7.621756801042352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IF('MP-CP'!K25="N/A",0,'MP-CP'!K108)</f>
        <v>700</v>
      </c>
      <c r="P8" s="141">
        <f>IF('MP-CP'!K25="N/A","N/A",('MP-CP'!K108*'MP-CP'!K22)-'MP-CP'!K69)</f>
        <v>1730.9456079973941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ROUND('MP-CP'!K28,1)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1800</v>
      </c>
      <c r="P22" s="170">
        <f>O22/3.785412</f>
        <v>475.50966711153239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'MP-CP'!K194</f>
        <v>1750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","N/A",'MP-CP'!K175)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","N/A",'MP-CP'!K176)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","N/A",'MP-CP'!K196)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","N/A",'MP-CP'!K177)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","N/A",'MP-CP'!K197)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","N/A",'MP-CP'!K179)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","N/A",'MP-CP'!K199)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","N/A",'MP-CP'!K181)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 t="str">
        <f>IF(N38=" ","N/A ",'MP-CP'!K201)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","N/A",'MP-CP'!K186)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34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'MP-CP'!K96</f>
        <v>1.6476043621771774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CONCATENATE('MP-CP'!K20," - Rotor Class A" )</f>
        <v>D0700 -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'MP-CP'!K104-(P4/'MP-CP'!K22)</f>
        <v>10.37904124781727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('MP-CP'!K104*'MP-CP'!K22)-'MP-CP'!K78</f>
        <v>1274.0523968804569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('MP-CP'!K106*'MP-CP'!K22)-'MP-CP'!K79</f>
        <v>1727.569183085154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IF('MP-CP'!K25="N/A","N/A",ROUND('MP-CP'!K25,0))</f>
        <v>34</v>
      </c>
      <c r="P6" s="141">
        <f>IF('MP-CP'!K25="N/A","N/A",'MP-CP'!X17)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IF('MP-CP'!K25="N/A",0,'MP-CP'!K108-(P8/'MP-CP'!K22))</f>
        <v>7.621756801042352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IF('MP-CP'!K25="N/A",0,'MP-CP'!K108)</f>
        <v>700</v>
      </c>
      <c r="P8" s="141">
        <f>IF('MP-CP'!K25="N/A","N/A",('MP-CP'!K108*'MP-CP'!K22)-'MP-CP'!K69)</f>
        <v>1730.9456079973941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ROUND('MP-CP'!K28,1)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1800</v>
      </c>
      <c r="P22" s="170">
        <f>O22/3.785412</f>
        <v>475.50966711153239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35*1.341022</f>
        <v>46.935769999999998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'MP-CP'!K194</f>
        <v>1750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","N/A",'MP-CP'!K175)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","N/A",'MP-CP'!K176)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","N/A",'MP-CP'!K177)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","N/A",'MP-CP'!K197)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","N/A",'MP-CP'!K179)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","N/A",'MP-CP'!K199)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","N/A",'MP-CP'!K181)</f>
        <v>10.37904124781724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>
        <f>IF(N38=" ","N/A ",'MP-CP'!K201)</f>
        <v>1274.0523968804569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","N/A",'MP-CP'!K186)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34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'MP-CP'!K96</f>
        <v>1.6476043621771774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CONCATENATE('MP-CP'!K20," Rotor Class B" )</f>
        <v>D0700 Rotor Class B</v>
      </c>
      <c r="F2" s="233"/>
      <c r="G2" s="233"/>
      <c r="H2" s="233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'MP-CP'!K104-(P4/'MP-CP'!K22)</f>
        <v>46.37904124781727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35 rpm, 1.3hp and 5.4ft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('MP-CP'!K104*'MP-CP'!K22)-'MP-CP'!K80</f>
        <v>1184.0523968804569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('MP-CP'!K106*'MP-CP'!K22)-'MP-CP'!K82</f>
        <v>1657.569183085154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IF('MP-CP'!K37="N/A","N/A",ROUND('MP-CP'!K37,0))</f>
        <v>35</v>
      </c>
      <c r="P6" s="141">
        <f>IF('MP-CP'!K37="N/A","N/A",'MP-CP'!X17)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IF('MP-CP'!K37="N/A",0,'MP-CP'!K108-(P8/'MP-CP'!K22))</f>
        <v>8.5501140904992781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IF('MP-CP'!K37="N/A",0,'MP-CP'!K108)</f>
        <v>700</v>
      </c>
      <c r="P8" s="141">
        <f>IF('MP-CP'!K37="N/A","N/A",('MP-CP'!K108*'MP-CP'!K22)-'MP-CP'!K70)</f>
        <v>1728.6247147737517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ROUND('MP-CP'!K40,1)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'MP-CP'!K314</f>
        <v>1750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","N/A",'MP-CP'!K295)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","N/A",'MP-CP'!K296)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","N/A",'MP-CP'!K316)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","N/A",'MP-CP'!K297)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","N/A",'MP-CP'!K317)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","N/A",'MP-CP'!K299)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","N/A",'MP-CP'!K319)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","N/A",'MP-CP'!K301)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 t="str">
        <f>IF(N38=" ","N/A ",'MP-CP'!K321)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","N/A",'MP-CP'!K306)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","N/A",'MP-CP'!K326)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35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'MP-CP'!K97</f>
        <v>1.6495394525334688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T41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CONCATENATE('MP-CP'!K20," - Rotor Class B" )</f>
        <v>D0700 -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'MP-CP'!K104-(P4/'MP-CP'!K22)</f>
        <v>46.37904124781727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('MP-CP'!K104*'MP-CP'!K22)-'MP-CP'!K80</f>
        <v>1184.0523968804569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('MP-CP'!K106*'MP-CP'!K22)-'MP-CP'!K82</f>
        <v>1657.569183085154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IF('MP-CP'!K37="N/A","N/A",ROUND('MP-CP'!K37,0))</f>
        <v>35</v>
      </c>
      <c r="P6" s="141">
        <f>IF('MP-CP'!K37="N/A","N/A",'MP-CP'!X17)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IF('MP-CP'!K37="N/A",0,'MP-CP'!K108-(P8/'MP-CP'!K22))</f>
        <v>8.5501140904992781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IF('MP-CP'!K37="N/A",0,'MP-CP'!K108)</f>
        <v>700</v>
      </c>
      <c r="P8" s="141">
        <f>IF('MP-CP'!K37="N/A","N/A",('MP-CP'!K108*'MP-CP'!K22)-'MP-CP'!K70)</f>
        <v>1728.6247147737517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ROUND('MP-CP'!K40,1)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'MP-CP'!K314</f>
        <v>1750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","N/A",'MP-CP'!K295)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","N/A",'MP-CP'!K296)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","N/A",'MP-CP'!K297)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","N/A",'MP-CP'!K317)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","N/A",'MP-CP'!K299)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","N/A",'MP-CP'!K319)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","N/A",'MP-CP'!K301)</f>
        <v>46.379041247817241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>
        <f>IF(N38=" ","N/A ",'MP-CP'!K321)</f>
        <v>1184.0523968804569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","N/A",'MP-CP'!K306)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","N/A",'MP-CP'!K326)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35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'MP-CP'!K97</f>
        <v>1.6495394525334688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CONCATENATE('MP-CP'!K20," Rotor Class C" )</f>
        <v>D0700 Rotor Class C</v>
      </c>
      <c r="F2" s="233"/>
      <c r="G2" s="233"/>
      <c r="H2" s="233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'MP-CP'!K104-(P4/'MP-CP'!K22)</f>
        <v>62.37904124781727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35 rpm, 1.3hp and 5.4ft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('MP-CP'!K104*'MP-CP'!K22)-'MP-CP'!K83</f>
        <v>1144.0523968804569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700</v>
      </c>
      <c r="P5" s="141">
        <f>('MP-CP'!K106*'MP-CP'!K22)-'MP-CP'!K85</f>
        <v>1623.2834687994398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IF('MP-CP'!K46="N/A","N/A",ROUND('MP-CP'!K46,0))</f>
        <v>35</v>
      </c>
      <c r="P6" s="141">
        <f>IF('MP-CP'!K46="N/A","N/A",'MP-CP'!X17)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IF('MP-CP'!K46="N/A",0,'MP-CP'!K108-(P8/'MP-CP'!K22))</f>
        <v>9.0564907938394299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IF('MP-CP'!K46="N/A",0,'MP-CP'!K108)</f>
        <v>700</v>
      </c>
      <c r="P8" s="141">
        <f>IF('MP-CP'!K46="N/A","N/A",('MP-CP'!K108*'MP-CP'!K22)-'MP-CP'!K71)</f>
        <v>1727.3587730154015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35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ROUND('MP-CP'!K49,1)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'MP-CP'!K394</f>
        <v>1750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","N/A",'MP-CP'!K375)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","N/A",'MP-CP'!K376)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","N/A",'MP-CP'!K396)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138</v>
      </c>
      <c r="O33" s="169">
        <v>0</v>
      </c>
      <c r="P33" s="171">
        <v>0</v>
      </c>
      <c r="Q33" s="169" t="str">
        <f>IF(N34=" ","N/A",'MP-CP'!K377)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","N/A",'MP-CP'!K397)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139</v>
      </c>
      <c r="O35" s="169">
        <v>0</v>
      </c>
      <c r="P35" s="171">
        <v>0</v>
      </c>
      <c r="Q35" s="169" t="str">
        <f>IF(N36=" ","N/A",'MP-CP'!K379)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","N/A",'MP-CP'!K399)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140</v>
      </c>
      <c r="O37" s="169">
        <v>0</v>
      </c>
      <c r="P37" s="171">
        <v>0</v>
      </c>
      <c r="Q37" s="169" t="str">
        <f>IF(N38=" ","N/A",'MP-CP'!K381)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IF('MP-CP'!X19&lt;O18,"7 / 105"," ")</f>
        <v xml:space="preserve"> 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 t="str">
        <f>IF(N38=" ","N/A ",'MP-CP'!K401)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","N/A",'MP-CP'!K386)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","N/A",'MP-CP'!K406)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35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'MP-CP'!K98</f>
        <v>1.6505972203085946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CONCATENATE('MP-CP'!K20," - Rotor Class C" )</f>
        <v>D0700 -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'MP-CP'!K106</f>
        <v>700</v>
      </c>
      <c r="P2" s="141">
        <f>O2*'MP-CP'!K22</f>
        <v>1750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'MP-CP'!K104-(P4/'MP-CP'!K22)</f>
        <v>62.37904124781727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'MP-CP'!K104</f>
        <v>520</v>
      </c>
      <c r="P4" s="141">
        <f>('MP-CP'!K104*'MP-CP'!K22)-'MP-CP'!K83</f>
        <v>1144.0523968804569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700</v>
      </c>
      <c r="P5" s="141">
        <f>('MP-CP'!K106*'MP-CP'!K22)-'MP-CP'!K85</f>
        <v>1623.2834687994398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IF('MP-CP'!K46="N/A","N/A",ROUND('MP-CP'!K46,0))</f>
        <v>35</v>
      </c>
      <c r="P6" s="141">
        <f>IF('MP-CP'!K46="N/A","N/A",'MP-CP'!X17)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IF('MP-CP'!K46="N/A",0,'MP-CP'!K108-(P8/'MP-CP'!K22))</f>
        <v>9.0564907938394299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IF('MP-CP'!K46="N/A",0,'MP-CP'!K108)</f>
        <v>700</v>
      </c>
      <c r="P8" s="141">
        <f>IF('MP-CP'!K46="N/A","N/A",('MP-CP'!K108*'MP-CP'!K22)-'MP-CP'!K71)</f>
        <v>1727.3587730154015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700</v>
      </c>
      <c r="P10" s="141">
        <f>P2/4.546092</f>
        <v>384.94601517083248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35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ROUND('MP-CP'!K49,1)</f>
        <v>5.4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</v>
      </c>
      <c r="P22" s="170">
        <f>O22/3.785412</f>
        <v>92.460213049464627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'MP-CP'!K214</f>
        <v>700</v>
      </c>
      <c r="P28" s="171">
        <f>'MP-CP'!K234</f>
        <v>7.6019895807474533</v>
      </c>
      <c r="Q28" s="169">
        <f>O28</f>
        <v>700</v>
      </c>
      <c r="R28" s="170">
        <f>'MP-CP'!K394</f>
        <v>1750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","N/A",'MP-CP'!K375)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'MP-CP'!K215</f>
        <v>700</v>
      </c>
      <c r="P30" s="171">
        <f>'MP-CP'!K235</f>
        <v>10.926989580747453</v>
      </c>
      <c r="Q30" s="169">
        <f>O30</f>
        <v>700</v>
      </c>
      <c r="R30" s="170" t="str">
        <f>IF(N30=" ","N/A",'MP-CP'!K395)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","N/A",'MP-CP'!K376)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'MP-CP'!K216</f>
        <v>700</v>
      </c>
      <c r="P32" s="171">
        <f>'MP-CP'!K236</f>
        <v>14.251989580747452</v>
      </c>
      <c r="Q32" s="169">
        <f>O32</f>
        <v>700</v>
      </c>
      <c r="R32" s="170" t="str">
        <f>IF(N32=" ","N/A",'MP-CP'!K396)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138</v>
      </c>
      <c r="O33" s="169">
        <v>0</v>
      </c>
      <c r="P33" s="171">
        <v>0</v>
      </c>
      <c r="Q33" s="169" t="str">
        <f>IF(N34=" ","N/A",'MP-CP'!K377)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IF('MP-CP'!X19&lt;O19,"3 / 45"," ")</f>
        <v xml:space="preserve"> </v>
      </c>
      <c r="O34" s="169">
        <f>'MP-CP'!K217</f>
        <v>700</v>
      </c>
      <c r="P34" s="171">
        <f>'MP-CP'!K237</f>
        <v>17.576989580747455</v>
      </c>
      <c r="Q34" s="169">
        <f>O34</f>
        <v>700</v>
      </c>
      <c r="R34" s="170" t="str">
        <f>IF(N34=" ","N/A",'MP-CP'!K397)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139</v>
      </c>
      <c r="O35" s="169">
        <v>0</v>
      </c>
      <c r="P35" s="171">
        <v>0</v>
      </c>
      <c r="Q35" s="169" t="str">
        <f>IF(N36=" ","N/A",'MP-CP'!K379)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IF('MP-CP'!X19&lt;O20,"5 / 75"," ")</f>
        <v xml:space="preserve"> </v>
      </c>
      <c r="O36" s="169">
        <f>'MP-CP'!K219</f>
        <v>700</v>
      </c>
      <c r="P36" s="171">
        <f>'MP-CP'!K239</f>
        <v>24.226989580747453</v>
      </c>
      <c r="Q36" s="169">
        <f>O36</f>
        <v>700</v>
      </c>
      <c r="R36" s="170" t="str">
        <f>IF(N36=" ","N/A",'MP-CP'!K399)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140</v>
      </c>
      <c r="O37" s="169">
        <v>0</v>
      </c>
      <c r="P37" s="171">
        <v>0</v>
      </c>
      <c r="Q37" s="169">
        <f>IF(N38=" ","N/A",'MP-CP'!K381)</f>
        <v>62.379041247817234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IF('MP-CP'!X19&lt;O21,"7 / 105"," ")</f>
        <v>7 / 105</v>
      </c>
      <c r="O38" s="169">
        <f>'MP-CP'!K221</f>
        <v>520</v>
      </c>
      <c r="P38" s="171">
        <f>'MP-CP'!K241</f>
        <v>22.937192259983821</v>
      </c>
      <c r="Q38" s="169">
        <f>O38</f>
        <v>520</v>
      </c>
      <c r="R38" s="170">
        <f>IF(N38=" ","N/A ",'MP-CP'!K401)</f>
        <v>1144.0523968804569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","N/A",'MP-CP'!K386)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'MP-CP'!K226</f>
        <v>0</v>
      </c>
      <c r="P40" s="171">
        <f>'MP-CP'!K246</f>
        <v>0</v>
      </c>
      <c r="Q40" s="169">
        <f>O40</f>
        <v>0</v>
      </c>
      <c r="R40" s="170">
        <f>IF(N40=" ","N/A",'MP-CP'!K406)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35</v>
      </c>
      <c r="P41" s="170">
        <f>ROUND('MP-CP'!K26,1)</f>
        <v>1.3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'MP-CP'!K98</f>
        <v>1.6505972203085946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03"/>
      <c r="Z1" s="127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CONCATENATE('MP-CP'!L20," Rotor Class B" )</f>
        <v>E0950 Rotor Class B</v>
      </c>
      <c r="F2" s="233"/>
      <c r="G2" s="233"/>
      <c r="H2" s="233"/>
      <c r="J2" s="17"/>
      <c r="M2" s="127"/>
      <c r="N2" s="141" t="s">
        <v>52</v>
      </c>
      <c r="O2" s="141">
        <f>'MP-CP'!L106</f>
        <v>650</v>
      </c>
      <c r="P2" s="141">
        <f>O2*'MP-CP'!L22</f>
        <v>2284.1</v>
      </c>
      <c r="Q2" s="141"/>
      <c r="R2" s="141"/>
      <c r="S2" s="141"/>
      <c r="T2" s="127"/>
      <c r="U2" s="127"/>
      <c r="V2" s="168"/>
      <c r="W2" s="127"/>
      <c r="X2" s="127"/>
      <c r="Y2" s="103"/>
      <c r="Z2" s="127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'MP-CP'!L104-(P4/'MP-CP'!L22)</f>
        <v>10.927784102625253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03"/>
      <c r="Z3" s="127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25 rpm, 1.3hp and 5.8ft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'MP-CP'!L104</f>
        <v>420</v>
      </c>
      <c r="P4" s="141">
        <f>('MP-CP'!L104*'MP-CP'!L22)-'MP-CP'!L78</f>
        <v>1437.4797666633747</v>
      </c>
      <c r="Q4" s="141"/>
      <c r="R4" s="141"/>
      <c r="S4" s="141"/>
      <c r="T4" s="127"/>
      <c r="U4" s="127"/>
      <c r="V4" s="127"/>
      <c r="W4" s="127"/>
      <c r="X4" s="127"/>
      <c r="Y4" s="103"/>
      <c r="Z4" s="127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650</v>
      </c>
      <c r="P5" s="141">
        <f>('MP-CP'!L106*'MP-CP'!L22)-'MP-CP'!L79</f>
        <v>2250.7841052503491</v>
      </c>
      <c r="Q5" s="141"/>
      <c r="R5" s="141"/>
      <c r="S5" s="141"/>
      <c r="T5" s="127"/>
      <c r="U5" s="127"/>
      <c r="V5" s="127"/>
      <c r="W5" s="127"/>
      <c r="X5" s="127"/>
      <c r="Y5" s="103"/>
      <c r="Z5" s="127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IF('MP-CP'!L25="N/A","N/A",ROUND('MP-CP'!L25,0))</f>
        <v>25</v>
      </c>
      <c r="P6" s="141">
        <f>IF('MP-CP'!L25="N/A","N/A",'MP-CP'!X17)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03"/>
      <c r="Z6" s="127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IF('MP-CP'!L25="N/A",0,'MP-CP'!L108-(P8/'MP-CP'!L22))</f>
        <v>6.2145767806701997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IF('MP-CP'!L25="N/A",0,'MP-CP'!L108)</f>
        <v>650</v>
      </c>
      <c r="P8" s="141">
        <f>IF('MP-CP'!L25="N/A","N/A",('MP-CP'!L108*'MP-CP'!L22)-'MP-CP'!L69)</f>
        <v>2262.2619771927248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650</v>
      </c>
      <c r="P10" s="141">
        <f>P2/4.546092</f>
        <v>502.43153900097053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ROUND('MP-CP'!L28,1)</f>
        <v>5.8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2400</v>
      </c>
      <c r="P22" s="170">
        <f>O22/3.785412</f>
        <v>634.01288948204319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35*1.341022</f>
        <v>46.935769999999998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'MP-CP'!L214</f>
        <v>650</v>
      </c>
      <c r="P28" s="171">
        <f>'MP-CP'!L234</f>
        <v>9.9723691480350105</v>
      </c>
      <c r="Q28" s="169">
        <f>O28</f>
        <v>650</v>
      </c>
      <c r="R28" s="170">
        <f>'MP-CP'!L194</f>
        <v>2284.1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","N/A",'MP-CP'!L175)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'MP-CP'!L215</f>
        <v>650</v>
      </c>
      <c r="P30" s="171">
        <f>'MP-CP'!L235</f>
        <v>14.312159148035011</v>
      </c>
      <c r="Q30" s="169">
        <f>O30</f>
        <v>650</v>
      </c>
      <c r="R30" s="170" t="str">
        <f>IF(N30=" ","N/A",'MP-CP'!L195)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","N/A",'MP-CP'!L177)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'MP-CP'!L217</f>
        <v>650</v>
      </c>
      <c r="P32" s="171">
        <f>'MP-CP'!L237</f>
        <v>22.991739148035013</v>
      </c>
      <c r="Q32" s="169">
        <f>O32</f>
        <v>650</v>
      </c>
      <c r="R32" s="170" t="str">
        <f>IF(N32=" ","N/A",'MP-CP'!L197)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","N/A",'MP-CP'!L179)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'MP-CP'!L219</f>
        <v>650</v>
      </c>
      <c r="P34" s="171">
        <f>'MP-CP'!L239</f>
        <v>31.67131914803501</v>
      </c>
      <c r="Q34" s="169">
        <f>O34</f>
        <v>650</v>
      </c>
      <c r="R34" s="170" t="str">
        <f>IF(N34=" ","N/A",'MP-CP'!L199)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","N/A",'MP-CP'!L181)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'MP-CP'!L221</f>
        <v>650</v>
      </c>
      <c r="P36" s="171">
        <f>'MP-CP'!L241</f>
        <v>40.350899148035012</v>
      </c>
      <c r="Q36" s="169">
        <f>O36</f>
        <v>650</v>
      </c>
      <c r="R36" s="170" t="str">
        <f>IF(N36=" ","N/A",'MP-CP'!L201)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","N/A",'MP-CP'!L184)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'MP-CP'!L224</f>
        <v>551.42857142857144</v>
      </c>
      <c r="P38" s="171">
        <f>'MP-CP'!L244</f>
        <v>45.276755804706625</v>
      </c>
      <c r="Q38" s="169">
        <f>O38</f>
        <v>551.42857142857144</v>
      </c>
      <c r="R38" s="170" t="str">
        <f>IF(N38=" ","N/A ",'MP-CP'!L204)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","N/A",'MP-CP'!L186)</f>
        <v>10.927784102625296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'MP-CP'!L226</f>
        <v>420</v>
      </c>
      <c r="P40" s="171">
        <f>'MP-CP'!L246</f>
        <v>40.093748680268767</v>
      </c>
      <c r="Q40" s="169">
        <f>O40</f>
        <v>420</v>
      </c>
      <c r="R40" s="170">
        <f>IF(N40=" ","N/A",'MP-CP'!L206)</f>
        <v>1437.4797666633747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25</v>
      </c>
      <c r="P41" s="170">
        <f>ROUND('MP-CP'!L26,1)</f>
        <v>1.3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'MP-CP'!L96</f>
        <v>1.7620439225029856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CONCATENATE('MP-CP'!L20," - Rotor Class B" )</f>
        <v>E0950 -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'MP-CP'!L106</f>
        <v>650</v>
      </c>
      <c r="P2" s="141">
        <f>O2*'MP-CP'!L22</f>
        <v>2284.1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'MP-CP'!L104-(P4/'MP-CP'!L22)</f>
        <v>10.927784102625253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'MP-CP'!L104</f>
        <v>420</v>
      </c>
      <c r="P4" s="141">
        <f>('MP-CP'!L104*'MP-CP'!L22)-'MP-CP'!L78</f>
        <v>1437.4797666633747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650</v>
      </c>
      <c r="P5" s="141">
        <f>('MP-CP'!L106*'MP-CP'!L22)-'MP-CP'!L79</f>
        <v>2250.7841052503491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IF('MP-CP'!L25="N/A","N/A",ROUND('MP-CP'!L25,0))</f>
        <v>25</v>
      </c>
      <c r="P6" s="141">
        <f>IF('MP-CP'!L25="N/A","N/A",'MP-CP'!X17)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IF('MP-CP'!L25="N/A",0,'MP-CP'!L108-(P8/'MP-CP'!L22))</f>
        <v>6.2145767806701997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IF('MP-CP'!L25="N/A",0,'MP-CP'!L108)</f>
        <v>650</v>
      </c>
      <c r="P8" s="141">
        <f>IF('MP-CP'!L25="N/A","N/A",('MP-CP'!L108*'MP-CP'!L22)-'MP-CP'!L69)</f>
        <v>2262.2619771927248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650</v>
      </c>
      <c r="P10" s="141">
        <f>P2/4.546092</f>
        <v>502.43153900097053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25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ROUND('MP-CP'!L28,1)</f>
        <v>5.8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2400</v>
      </c>
      <c r="P22" s="170">
        <f>O22/3.785412</f>
        <v>634.01288948204319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60*1.341022</f>
        <v>80.461320000000001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'MP-CP'!L214</f>
        <v>650</v>
      </c>
      <c r="P28" s="171">
        <f>'MP-CP'!L234</f>
        <v>9.9723691480350105</v>
      </c>
      <c r="Q28" s="169">
        <f>O28</f>
        <v>650</v>
      </c>
      <c r="R28" s="170">
        <f>'MP-CP'!L194</f>
        <v>2284.1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","N/A",'MP-CP'!L175)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'MP-CP'!L215</f>
        <v>650</v>
      </c>
      <c r="P30" s="171">
        <f>'MP-CP'!L235</f>
        <v>14.312159148035011</v>
      </c>
      <c r="Q30" s="169">
        <f>O30</f>
        <v>650</v>
      </c>
      <c r="R30" s="170" t="str">
        <f>IF(N30=" ","N/A",'MP-CP'!L195)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","N/A",'MP-CP'!L177)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IF('MP-CP'!X19&lt;O18,"3 / 45"," ")</f>
        <v xml:space="preserve"> </v>
      </c>
      <c r="O32" s="169">
        <f>'MP-CP'!L217</f>
        <v>650</v>
      </c>
      <c r="P32" s="171">
        <f>'MP-CP'!L237</f>
        <v>22.991739148035013</v>
      </c>
      <c r="Q32" s="169">
        <f>O32</f>
        <v>650</v>
      </c>
      <c r="R32" s="170" t="str">
        <f>IF(N32=" ","N/A",'MP-CP'!L197)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","N/A",'MP-CP'!L179)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'MP-CP'!L219</f>
        <v>650</v>
      </c>
      <c r="P34" s="171">
        <f>'MP-CP'!L239</f>
        <v>31.67131914803501</v>
      </c>
      <c r="Q34" s="169">
        <f>O34</f>
        <v>650</v>
      </c>
      <c r="R34" s="170" t="str">
        <f>IF(N34=" ","N/A",'MP-CP'!L199)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","N/A",'MP-CP'!L181)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'MP-CP'!L221</f>
        <v>650</v>
      </c>
      <c r="P36" s="171">
        <f>'MP-CP'!L241</f>
        <v>40.350899148035012</v>
      </c>
      <c r="Q36" s="169">
        <f>O36</f>
        <v>650</v>
      </c>
      <c r="R36" s="170" t="str">
        <f>IF(N36=" ","N/A",'MP-CP'!L201)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","N/A",'MP-CP'!L184)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'MP-CP'!L224</f>
        <v>551.42857142857144</v>
      </c>
      <c r="P38" s="171">
        <f>'MP-CP'!L244</f>
        <v>45.276755804706625</v>
      </c>
      <c r="Q38" s="169">
        <f>O38</f>
        <v>551.42857142857144</v>
      </c>
      <c r="R38" s="170" t="str">
        <f>IF(N38=" ","N/A ",'MP-CP'!L204)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","N/A",'MP-CP'!L186)</f>
        <v>10.927784102625296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'MP-CP'!L226</f>
        <v>420</v>
      </c>
      <c r="P40" s="171">
        <f>'MP-CP'!L246</f>
        <v>40.093748680268767</v>
      </c>
      <c r="Q40" s="169">
        <f>O40</f>
        <v>420</v>
      </c>
      <c r="R40" s="170">
        <f>IF(N40=" ","N/A",'MP-CP'!L206)</f>
        <v>1437.4797666633747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25</v>
      </c>
      <c r="P41" s="170">
        <f>ROUND('MP-CP'!L26,1)</f>
        <v>1.3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'MP-CP'!L96</f>
        <v>1.7620439225029856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CONCATENATE('MP-CP'!L20," Rotor Class D" )</f>
        <v>E0950 Rotor Class D</v>
      </c>
      <c r="F2" s="233"/>
      <c r="G2" s="233"/>
      <c r="H2" s="233"/>
      <c r="J2" s="17"/>
      <c r="M2" s="127"/>
      <c r="N2" s="141" t="s">
        <v>52</v>
      </c>
      <c r="O2" s="141">
        <f>'MP-CP'!L106</f>
        <v>650</v>
      </c>
      <c r="P2" s="141">
        <f>O2*'MP-CP'!L22</f>
        <v>2284.1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'MP-CP'!L104-(P4/'MP-CP'!L22)</f>
        <v>36.539622463467651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26 rpm, 1.3hp and 5.8ft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'MP-CP'!L104</f>
        <v>420</v>
      </c>
      <c r="P4" s="141">
        <f>('MP-CP'!L104*'MP-CP'!L22)-'MP-CP'!L80</f>
        <v>1347.4797666633747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650</v>
      </c>
      <c r="P5" s="141">
        <f>('MP-CP'!L106*'MP-CP'!L22)-'MP-CP'!L82</f>
        <v>2178.2841052503491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IF('MP-CP'!L37="N/A","N/A",ROUND('MP-CP'!L37,0))</f>
        <v>26</v>
      </c>
      <c r="P6" s="141">
        <f>IF('MP-CP'!L37="N/A","N/A",'MP-CP'!X17)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IF('MP-CP'!L37="N/A",0,'MP-CP'!L108-(P8/'MP-CP'!L22))</f>
        <v>6.7849830937192337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IF('MP-CP'!L37="N/A",0,'MP-CP'!L108)</f>
        <v>650</v>
      </c>
      <c r="P8" s="141">
        <f>IF('MP-CP'!L37="N/A","N/A",('MP-CP'!L108*'MP-CP'!L22)-'MP-CP'!L70)</f>
        <v>2260.2575694086704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650</v>
      </c>
      <c r="P10" s="141">
        <f>P2/4.546092</f>
        <v>502.43153900097053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ROUND('MP-CP'!L40,1)</f>
        <v>5.8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'MP-CP'!L214</f>
        <v>650</v>
      </c>
      <c r="P28" s="171">
        <f>'MP-CP'!L234</f>
        <v>9.9723691480350105</v>
      </c>
      <c r="Q28" s="169">
        <f>O28</f>
        <v>650</v>
      </c>
      <c r="R28" s="170">
        <f>'MP-CP'!L314</f>
        <v>2284.1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","N/A",'MP-CP'!L295)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'MP-CP'!L215</f>
        <v>650</v>
      </c>
      <c r="P30" s="171">
        <f>'MP-CP'!L235</f>
        <v>14.312159148035011</v>
      </c>
      <c r="Q30" s="169">
        <f>O30</f>
        <v>650</v>
      </c>
      <c r="R30" s="170" t="str">
        <f>IF(N30=" ","N/A",'MP-CP'!L315)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","N/A",'MP-CP'!L297)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'MP-CP'!L217</f>
        <v>650</v>
      </c>
      <c r="P32" s="171">
        <f>'MP-CP'!L237</f>
        <v>22.991739148035013</v>
      </c>
      <c r="Q32" s="169">
        <f>O32</f>
        <v>650</v>
      </c>
      <c r="R32" s="170" t="str">
        <f>IF(N32=" ","N/A",'MP-CP'!L317)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","N/A",'MP-CP'!L299)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'MP-CP'!L219</f>
        <v>650</v>
      </c>
      <c r="P34" s="171">
        <f>'MP-CP'!L239</f>
        <v>31.67131914803501</v>
      </c>
      <c r="Q34" s="169">
        <f>O34</f>
        <v>650</v>
      </c>
      <c r="R34" s="170" t="str">
        <f>IF(N34=" ","N/A",'MP-CP'!L319)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","N/A",'MP-CP'!L301)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'MP-CP'!L221</f>
        <v>650</v>
      </c>
      <c r="P36" s="171">
        <f>'MP-CP'!L241</f>
        <v>40.350899148035012</v>
      </c>
      <c r="Q36" s="169">
        <f>O36</f>
        <v>650</v>
      </c>
      <c r="R36" s="170" t="str">
        <f>IF(N36=" ","N/A",'MP-CP'!L321)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","N/A",'MP-CP'!L304)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'MP-CP'!L224</f>
        <v>551.42857142857144</v>
      </c>
      <c r="P38" s="171">
        <f>'MP-CP'!L244</f>
        <v>45.276755804706625</v>
      </c>
      <c r="Q38" s="169">
        <f>O38</f>
        <v>551.42857142857144</v>
      </c>
      <c r="R38" s="170" t="str">
        <f>IF(N38=" ","N/A ",'MP-CP'!L324)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","N/A",'MP-CP'!L306)</f>
        <v>36.539622463467644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'MP-CP'!L226</f>
        <v>420</v>
      </c>
      <c r="P40" s="171">
        <f>'MP-CP'!L246</f>
        <v>40.093748680268767</v>
      </c>
      <c r="Q40" s="169">
        <f>O40</f>
        <v>420</v>
      </c>
      <c r="R40" s="170">
        <f>IF(N40=" ","N/A",'MP-CP'!L326)</f>
        <v>1347.4797666633747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26</v>
      </c>
      <c r="P41" s="170">
        <f>ROUND('MP-CP'!L26,1)</f>
        <v>1.3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'MP-CP'!L97</f>
        <v>1.7636673421980837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8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CONCATENATE('MP-CP'!L20," - Rotor Class D" )</f>
        <v>E0950 - Rotor Class D</v>
      </c>
      <c r="F2" s="233"/>
      <c r="G2" s="233"/>
      <c r="H2" s="233"/>
      <c r="I2" s="17"/>
      <c r="J2" s="17"/>
      <c r="M2" s="127"/>
      <c r="N2" s="141" t="s">
        <v>52</v>
      </c>
      <c r="O2" s="141">
        <f>'MP-CP'!L106</f>
        <v>650</v>
      </c>
      <c r="P2" s="141">
        <f>O2*'MP-CP'!L22</f>
        <v>2284.1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'MP-CP'!L104-(P4/'MP-CP'!L22)</f>
        <v>36.539622463467651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'MP-CP'!L104</f>
        <v>420</v>
      </c>
      <c r="P4" s="141">
        <f>('MP-CP'!L104*'MP-CP'!L22)-'MP-CP'!L80</f>
        <v>1347.4797666633747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650</v>
      </c>
      <c r="P5" s="141">
        <f>('MP-CP'!L106*'MP-CP'!L22)-'MP-CP'!L82</f>
        <v>2178.2841052503491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IF('MP-CP'!L37="N/A","N/A",ROUND('MP-CP'!L37,0))</f>
        <v>26</v>
      </c>
      <c r="P6" s="141">
        <f>IF('MP-CP'!L37="N/A","N/A",'MP-CP'!X17)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IF('MP-CP'!L37="N/A",0,'MP-CP'!L108-(P8/'MP-CP'!L22))</f>
        <v>6.7849830937192337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IF('MP-CP'!L37="N/A",0,'MP-CP'!L108)</f>
        <v>650</v>
      </c>
      <c r="P8" s="141">
        <f>IF('MP-CP'!L37="N/A","N/A",('MP-CP'!L108*'MP-CP'!L22)-'MP-CP'!L70)</f>
        <v>2260.2575694086704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650</v>
      </c>
      <c r="P10" s="141">
        <f>P2/4.546092</f>
        <v>502.43153900097053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26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1.3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ROUND('MP-CP'!L40,1)</f>
        <v>5.8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550</v>
      </c>
      <c r="P22" s="170">
        <f>O22/3.785412</f>
        <v>145.29462050630156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'MP-CP'!L214</f>
        <v>650</v>
      </c>
      <c r="P28" s="171">
        <f>'MP-CP'!L234</f>
        <v>9.9723691480350105</v>
      </c>
      <c r="Q28" s="169">
        <f>O28</f>
        <v>650</v>
      </c>
      <c r="R28" s="170">
        <f>'MP-CP'!L314</f>
        <v>2284.1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","N/A",'MP-CP'!L295)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'MP-CP'!L215</f>
        <v>650</v>
      </c>
      <c r="P30" s="171">
        <f>'MP-CP'!L235</f>
        <v>14.312159148035011</v>
      </c>
      <c r="Q30" s="169">
        <f>O30</f>
        <v>650</v>
      </c>
      <c r="R30" s="170" t="str">
        <f>IF(N30=" ","N/A",'MP-CP'!L315)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","N/A",'MP-CP'!L297)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IF('MP-CP'!X19&lt;O18,"3 / 45"," ")</f>
        <v xml:space="preserve"> </v>
      </c>
      <c r="O32" s="169">
        <f>'MP-CP'!L217</f>
        <v>650</v>
      </c>
      <c r="P32" s="171">
        <f>'MP-CP'!L237</f>
        <v>22.991739148035013</v>
      </c>
      <c r="Q32" s="169">
        <f>O32</f>
        <v>650</v>
      </c>
      <c r="R32" s="170" t="str">
        <f>IF(N32=" ","N/A",'MP-CP'!L317)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","N/A",'MP-CP'!L299)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'MP-CP'!L219</f>
        <v>650</v>
      </c>
      <c r="P34" s="171">
        <f>'MP-CP'!L239</f>
        <v>31.67131914803501</v>
      </c>
      <c r="Q34" s="169">
        <f>O34</f>
        <v>650</v>
      </c>
      <c r="R34" s="170" t="str">
        <f>IF(N34=" ","N/A",'MP-CP'!L319)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","N/A",'MP-CP'!L301)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'MP-CP'!L221</f>
        <v>650</v>
      </c>
      <c r="P36" s="171">
        <f>'MP-CP'!L241</f>
        <v>40.350899148035012</v>
      </c>
      <c r="Q36" s="169">
        <f>O36</f>
        <v>650</v>
      </c>
      <c r="R36" s="170" t="str">
        <f>IF(N36=" ","N/A",'MP-CP'!L321)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","N/A",'MP-CP'!L304)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'MP-CP'!L224</f>
        <v>551.42857142857144</v>
      </c>
      <c r="P38" s="171">
        <f>'MP-CP'!L244</f>
        <v>45.276755804706625</v>
      </c>
      <c r="Q38" s="169">
        <f>O38</f>
        <v>551.42857142857144</v>
      </c>
      <c r="R38" s="170" t="str">
        <f>IF(N38=" ","N/A ",'MP-CP'!L324)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","N/A",'MP-CP'!L306)</f>
        <v>36.539622463467644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'MP-CP'!L226</f>
        <v>420</v>
      </c>
      <c r="P40" s="171">
        <f>'MP-CP'!L246</f>
        <v>40.093748680268767</v>
      </c>
      <c r="Q40" s="169">
        <f>O40</f>
        <v>420</v>
      </c>
      <c r="R40" s="170">
        <f>IF(N40=" ","N/A",'MP-CP'!L326)</f>
        <v>1347.4797666633747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26</v>
      </c>
      <c r="P41" s="170">
        <f>ROUND('MP-CP'!L26,1)</f>
        <v>1.3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'MP-CP'!L97</f>
        <v>1.7636673421980837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CONCATENATE('MP-CP'!C20," - Rotor Class C" )</f>
        <v>A0015 - Rotor Class C</v>
      </c>
      <c r="F2" s="233"/>
      <c r="G2" s="233"/>
      <c r="H2" s="233"/>
      <c r="J2" s="17"/>
      <c r="M2" s="127"/>
      <c r="N2" s="141" t="s">
        <v>52</v>
      </c>
      <c r="O2" s="141">
        <f>'MP-CP'!C106</f>
        <v>1400</v>
      </c>
      <c r="P2" s="141">
        <f>O2*'MP-CP'!C22</f>
        <v>64.400000000000006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'MP-CP'!C104-(P4/'MP-CP'!C22)</f>
        <v>319.15992014232756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No Selection - Outside of Operating Range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'MP-CP'!C104</f>
        <v>1000</v>
      </c>
      <c r="P4" s="141">
        <f>('MP-CP'!C104*'MP-CP'!C22)-'MP-CP'!C83</f>
        <v>31.318643673452932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('MP-CP'!C106*'MP-CP'!C22)-'MP-CP'!C85</f>
        <v>52.330271620903076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 t="str">
        <f>IF('MP-CP'!C46="N/A","N/A",ROUND('MP-CP'!C46,0))</f>
        <v>N/A</v>
      </c>
      <c r="P6" s="141" t="str">
        <f>IF('MP-CP'!C46="N/A","N/A",'MP-CP'!X17)</f>
        <v>N/A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IF('MP-CP'!C46="N/A",0,'MP-CP'!C108-(P8/'MP-CP'!C22))</f>
        <v>0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IF('MP-CP'!C46="N/A",0,'MP-CP'!C108)</f>
        <v>0</v>
      </c>
      <c r="P8" s="141" t="str">
        <f>IF('MP-CP'!C46="N/A","N/A",('MP-CP'!C108*'MP-CP'!C22)-'MP-CP'!C71)</f>
        <v>N/A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14.166013358286635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 t="str">
        <f>O6</f>
        <v>N/A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 t="e">
        <f>P41</f>
        <v>#VALUE!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 t="e">
        <f>ROUND('MP-CP'!C49,1)</f>
        <v>#VALUE!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'MP-CP'!C214</f>
        <v>1400</v>
      </c>
      <c r="P28" s="171">
        <f>'MP-CP'!C234</f>
        <v>0.90700810664691922</v>
      </c>
      <c r="Q28" s="169">
        <f>O28</f>
        <v>1400</v>
      </c>
      <c r="R28" s="170">
        <f>'MP-CP'!C394</f>
        <v>64.400000000000006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","N/A",'MP-CP'!C375)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'MP-CP'!C215</f>
        <v>1400</v>
      </c>
      <c r="P30" s="171">
        <f>'MP-CP'!C235</f>
        <v>1.0293681066469191</v>
      </c>
      <c r="Q30" s="169">
        <f>O30</f>
        <v>1400</v>
      </c>
      <c r="R30" s="170" t="str">
        <f>IF(N30=" ","N/A",'MP-CP'!C395)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","N/A",'MP-CP'!C377)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'MP-CP'!C217</f>
        <v>1400</v>
      </c>
      <c r="P32" s="171">
        <f>'MP-CP'!C237</f>
        <v>1.2740881066469192</v>
      </c>
      <c r="Q32" s="169">
        <f>O32</f>
        <v>1400</v>
      </c>
      <c r="R32" s="170" t="str">
        <f>IF(N32=" ","N/A",'MP-CP'!C397)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","N/A",'MP-CP'!C379)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'MP-CP'!C219</f>
        <v>1400</v>
      </c>
      <c r="P34" s="171">
        <f>'MP-CP'!C239</f>
        <v>1.5188081066469192</v>
      </c>
      <c r="Q34" s="169">
        <f>O34</f>
        <v>1400</v>
      </c>
      <c r="R34" s="170" t="str">
        <f>IF(N34=" ","N/A",'MP-CP'!C399)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","N/A",'MP-CP'!C381)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'MP-CP'!C221</f>
        <v>1400</v>
      </c>
      <c r="P36" s="171">
        <f>'MP-CP'!C241</f>
        <v>1.7635281066469191</v>
      </c>
      <c r="Q36" s="169">
        <f>O36</f>
        <v>1400</v>
      </c>
      <c r="R36" s="170" t="str">
        <f>IF(N36=" ","N/A",'MP-CP'!C401)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","N/A",'MP-CP'!C384)</f>
        <v>N/A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'MP-CP'!C224</f>
        <v>1228.5714285714287</v>
      </c>
      <c r="P38" s="171">
        <f>'MP-CP'!C244</f>
        <v>1.869717318077909</v>
      </c>
      <c r="Q38" s="169">
        <f>O38</f>
        <v>1228.5714285714287</v>
      </c>
      <c r="R38" s="170" t="str">
        <f>IF(N38=" ","N/A ",'MP-CP'!C404)</f>
        <v xml:space="preserve">N/A 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","N/A",'MP-CP'!C386)</f>
        <v>319.15992014232762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'MP-CP'!C226</f>
        <v>1000</v>
      </c>
      <c r="P40" s="171">
        <f>'MP-CP'!C246</f>
        <v>1.6966629333192278</v>
      </c>
      <c r="Q40" s="169">
        <f>O40</f>
        <v>1000</v>
      </c>
      <c r="R40" s="170">
        <f>IF(N40=" ","N/A",'MP-CP'!C406)</f>
        <v>31.318643673452932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 t="str">
        <f>O6</f>
        <v>N/A</v>
      </c>
      <c r="P41" s="170" t="e">
        <f>ROUND('MP-CP'!C26,1)</f>
        <v>#VALUE!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 t="e">
        <f>'MP-CP'!C98</f>
        <v>#VALUE!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1"/>
      <c r="C45" s="1"/>
      <c r="D45" s="1"/>
      <c r="E45" s="1"/>
      <c r="F45" s="1"/>
      <c r="G45" s="1"/>
      <c r="H45" s="1"/>
      <c r="I45" s="1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CONCATENATE('MP-CP'!M20," - Rotor Class B" )</f>
        <v>E1400 - Rotor Class B</v>
      </c>
      <c r="F2" s="233"/>
      <c r="G2" s="233"/>
      <c r="H2" s="233"/>
      <c r="J2" s="17"/>
      <c r="M2" s="127"/>
      <c r="N2" s="141" t="s">
        <v>52</v>
      </c>
      <c r="O2" s="141">
        <f>'MP-CP'!M106</f>
        <v>650</v>
      </c>
      <c r="P2" s="141">
        <f>O2*'MP-CP'!M22</f>
        <v>3412.5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'MP-CP'!M104-(P4/'MP-CP'!M22)</f>
        <v>8.7161094778098231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19 rpm, 1.4hp and 5.3ft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'MP-CP'!M104</f>
        <v>420</v>
      </c>
      <c r="P4" s="141">
        <f>('MP-CP'!M104*'MP-CP'!M22)-'MP-CP'!M78</f>
        <v>2159.2404252414985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650</v>
      </c>
      <c r="P5" s="141">
        <f>('MP-CP'!M106*'MP-CP'!M22)-'MP-CP'!M79</f>
        <v>3373.2626626756655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IF('MP-CP'!M25="N/A","N/A",ROUND('MP-CP'!M25,0))</f>
        <v>19</v>
      </c>
      <c r="P6" s="141">
        <f>IF('MP-CP'!M25="N/A","N/A",'MP-CP'!X17)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IF('MP-CP'!M25="N/A",0,'MP-CP'!M108-(P8/'MP-CP'!M22))</f>
        <v>6.2411933402350996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IF('MP-CP'!M25="N/A",0,'MP-CP'!M108)</f>
        <v>650</v>
      </c>
      <c r="P8" s="141">
        <f>IF('MP-CP'!M25="N/A","N/A",('MP-CP'!M108*'MP-CP'!M22)-'MP-CP'!M69)</f>
        <v>3379.733734963766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19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1.4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ROUND('MP-CP'!M28,1)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3500</v>
      </c>
      <c r="P22" s="170">
        <f>O22/3.785412</f>
        <v>924.6021304946463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60*1.341022</f>
        <v>80.461320000000001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'MP-CP'!M214</f>
        <v>650</v>
      </c>
      <c r="P28" s="171">
        <f>'MP-CP'!M234</f>
        <v>12.305457890490555</v>
      </c>
      <c r="Q28" s="169">
        <f>O28</f>
        <v>650</v>
      </c>
      <c r="R28" s="170">
        <f>'MP-CP'!M194</f>
        <v>3412.5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I29" s="159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","N/A",'MP-CP'!M175)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B30" s="159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'MP-CP'!M215</f>
        <v>650</v>
      </c>
      <c r="P30" s="171">
        <f>'MP-CP'!M235</f>
        <v>18.789207890490555</v>
      </c>
      <c r="Q30" s="169">
        <f>O30</f>
        <v>650</v>
      </c>
      <c r="R30" s="170" t="str">
        <f>IF(N30=" ","N/A",'MP-CP'!M195)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159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","N/A",'MP-CP'!M176)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'MP-CP'!M216</f>
        <v>650</v>
      </c>
      <c r="P32" s="171">
        <f>'MP-CP'!M236</f>
        <v>25.272957890490549</v>
      </c>
      <c r="Q32" s="169">
        <f>O32</f>
        <v>650</v>
      </c>
      <c r="R32" s="170" t="str">
        <f>IF(N32=" ","N/A",'MP-CP'!M196)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145</v>
      </c>
      <c r="O33" s="169">
        <v>0</v>
      </c>
      <c r="P33" s="171">
        <v>0</v>
      </c>
      <c r="Q33" s="169" t="str">
        <f>IF(N34=" ","N/A",'MP-CP'!M178)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IF('MP-CP'!X19&lt;O19,"4 / 60"," ")</f>
        <v xml:space="preserve"> </v>
      </c>
      <c r="O34" s="169">
        <f>'MP-CP'!M218</f>
        <v>650</v>
      </c>
      <c r="P34" s="171">
        <f>'MP-CP'!M238</f>
        <v>38.240457890490553</v>
      </c>
      <c r="Q34" s="169">
        <f>O34</f>
        <v>650</v>
      </c>
      <c r="R34" s="170" t="str">
        <f>IF(N34=" ","N/A",'MP-CP'!M198)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147</v>
      </c>
      <c r="O35" s="169">
        <v>0</v>
      </c>
      <c r="P35" s="171">
        <v>0</v>
      </c>
      <c r="Q35" s="169" t="str">
        <f>IF(N36=" ","N/A",'MP-CP'!M180)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IF('MP-CP'!X19&lt;O18,"6 / 90"," ")</f>
        <v xml:space="preserve"> </v>
      </c>
      <c r="O36" s="169">
        <f>'MP-CP'!M220</f>
        <v>604</v>
      </c>
      <c r="P36" s="171">
        <f>'MP-CP'!M240</f>
        <v>47.584010101317368</v>
      </c>
      <c r="Q36" s="169">
        <f>O36</f>
        <v>604</v>
      </c>
      <c r="R36" s="170" t="str">
        <f>IF(N36=" ","N/A",'MP-CP'!M200)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146</v>
      </c>
      <c r="O37" s="169">
        <v>0</v>
      </c>
      <c r="P37" s="171">
        <v>0</v>
      </c>
      <c r="Q37" s="169">
        <f>IF(N38=" ","N/A",'MP-CP'!M182)</f>
        <v>8.7161094778098303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IF('MP-CP'!X19&lt;O21,"8 / 120"," ")</f>
        <v>8 / 120</v>
      </c>
      <c r="O38" s="169">
        <f>'MP-CP'!M222</f>
        <v>420</v>
      </c>
      <c r="P38" s="171">
        <f>'MP-CP'!M242</f>
        <v>41.467218944624676</v>
      </c>
      <c r="Q38" s="169">
        <f>O38</f>
        <v>420</v>
      </c>
      <c r="R38" s="170">
        <f>IF(N38=" ","N/A ",'MP-CP'!M202)</f>
        <v>2159.2404252414985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","N/A",'MP-CP'!M186)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'MP-CP'!M226</f>
        <v>0</v>
      </c>
      <c r="P40" s="171">
        <f>'MP-CP'!M246</f>
        <v>0</v>
      </c>
      <c r="Q40" s="169">
        <f>O40</f>
        <v>0</v>
      </c>
      <c r="R40" s="170">
        <f>IF(N40=" ","N/A",'MP-CP'!M206)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19</v>
      </c>
      <c r="P41" s="170">
        <f>ROUND('MP-CP'!M26,1)</f>
        <v>1.4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'MP-CP'!M96</f>
        <v>1.6048390919313364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40"/>
      <c r="C45" s="40"/>
      <c r="D45" s="40"/>
      <c r="E45" s="40"/>
      <c r="F45" s="40"/>
      <c r="G45" s="40"/>
      <c r="H45" s="40"/>
      <c r="I45" s="40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CONCATENATE('MP-CP'!M20," - Rotor Class B" )</f>
        <v>E1400 -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'MP-CP'!M106</f>
        <v>650</v>
      </c>
      <c r="P2" s="141">
        <f>O2*'MP-CP'!M22</f>
        <v>3412.5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'MP-CP'!M104-(P4/'MP-CP'!M22)</f>
        <v>8.7161094778098231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'MP-CP'!M104</f>
        <v>420</v>
      </c>
      <c r="P4" s="141">
        <f>('MP-CP'!M104*'MP-CP'!M22)-'MP-CP'!M78</f>
        <v>2159.2404252414985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650</v>
      </c>
      <c r="P5" s="141">
        <f>('MP-CP'!M106*'MP-CP'!M22)-'MP-CP'!M79</f>
        <v>3373.2626626756655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IF('MP-CP'!M25="N/A","N/A",ROUND('MP-CP'!M25,0))</f>
        <v>19</v>
      </c>
      <c r="P6" s="141">
        <f>IF('MP-CP'!M25="N/A","N/A",'MP-CP'!X17)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IF('MP-CP'!M25="N/A",0,'MP-CP'!M108-(P8/'MP-CP'!M22))</f>
        <v>6.2411933402350996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IF('MP-CP'!M25="N/A",0,'MP-CP'!M108)</f>
        <v>650</v>
      </c>
      <c r="P8" s="141">
        <f>IF('MP-CP'!M25="N/A","N/A",('MP-CP'!M108*'MP-CP'!M22)-'MP-CP'!M69)</f>
        <v>3379.733734963766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19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1.4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ROUND('MP-CP'!M28,1)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3500</v>
      </c>
      <c r="P22" s="170">
        <f>O22/3.785412</f>
        <v>924.6021304946463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60*1.341022</f>
        <v>80.461320000000001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'MP-CP'!M214</f>
        <v>650</v>
      </c>
      <c r="P28" s="171">
        <f>'MP-CP'!M234</f>
        <v>12.305457890490555</v>
      </c>
      <c r="Q28" s="169">
        <f>O28</f>
        <v>650</v>
      </c>
      <c r="R28" s="170">
        <f>'MP-CP'!M194</f>
        <v>3412.5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","N/A",'MP-CP'!M175)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'MP-CP'!M215</f>
        <v>650</v>
      </c>
      <c r="P30" s="171">
        <f>'MP-CP'!M235</f>
        <v>18.789207890490555</v>
      </c>
      <c r="Q30" s="169">
        <f>O30</f>
        <v>650</v>
      </c>
      <c r="R30" s="170" t="str">
        <f>IF(N30=" ","N/A",'MP-CP'!M195)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","N/A",'MP-CP'!M176)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'MP-CP'!M216</f>
        <v>650</v>
      </c>
      <c r="P32" s="171">
        <f>'MP-CP'!M236</f>
        <v>25.272957890490549</v>
      </c>
      <c r="Q32" s="169">
        <f>O32</f>
        <v>650</v>
      </c>
      <c r="R32" s="170" t="str">
        <f>IF(N32=" ","N/A",'MP-CP'!M196)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145</v>
      </c>
      <c r="O33" s="169">
        <v>0</v>
      </c>
      <c r="P33" s="171">
        <v>0</v>
      </c>
      <c r="Q33" s="169" t="str">
        <f>IF(N34=" ","N/A",'MP-CP'!M178)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IF('MP-CP'!X19&lt;O20,"4 / 60"," ")</f>
        <v xml:space="preserve"> </v>
      </c>
      <c r="O34" s="169">
        <f>'MP-CP'!M218</f>
        <v>650</v>
      </c>
      <c r="P34" s="171">
        <f>'MP-CP'!M238</f>
        <v>38.240457890490553</v>
      </c>
      <c r="Q34" s="169">
        <f>O34</f>
        <v>650</v>
      </c>
      <c r="R34" s="170" t="str">
        <f>IF(N34=" ","N/A",'MP-CP'!M198)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147</v>
      </c>
      <c r="O35" s="169">
        <v>0</v>
      </c>
      <c r="P35" s="171">
        <v>0</v>
      </c>
      <c r="Q35" s="169" t="str">
        <f>IF(N36=" ","N/A",'MP-CP'!M180)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IF('MP-CP'!X19&lt;O18,"6 / 90"," ")</f>
        <v xml:space="preserve"> </v>
      </c>
      <c r="O36" s="169">
        <f>'MP-CP'!M220</f>
        <v>604</v>
      </c>
      <c r="P36" s="171">
        <f>'MP-CP'!M240</f>
        <v>47.584010101317368</v>
      </c>
      <c r="Q36" s="169">
        <f>O36</f>
        <v>604</v>
      </c>
      <c r="R36" s="170" t="str">
        <f>IF(N36=" ","N/A",'MP-CP'!M200)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146</v>
      </c>
      <c r="O37" s="169">
        <v>0</v>
      </c>
      <c r="P37" s="171">
        <v>0</v>
      </c>
      <c r="Q37" s="169">
        <f>IF(N38=" ","N/A",'MP-CP'!M182)</f>
        <v>8.7161094778098303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IF('MP-CP'!X19&lt;O21,"8 / 120"," ")</f>
        <v>8 / 120</v>
      </c>
      <c r="O38" s="169">
        <f>'MP-CP'!M222</f>
        <v>420</v>
      </c>
      <c r="P38" s="171">
        <f>'MP-CP'!M242</f>
        <v>41.467218944624676</v>
      </c>
      <c r="Q38" s="169">
        <f>O38</f>
        <v>420</v>
      </c>
      <c r="R38" s="170">
        <f>IF(N38=" ","N/A ",'MP-CP'!M202)</f>
        <v>2159.2404252414985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","N/A",'MP-CP'!M186)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'MP-CP'!M226</f>
        <v>0</v>
      </c>
      <c r="P40" s="171">
        <f>'MP-CP'!M246</f>
        <v>0</v>
      </c>
      <c r="Q40" s="169">
        <f>O40</f>
        <v>0</v>
      </c>
      <c r="R40" s="170">
        <f>IF(N40=" ","N/A",'MP-CP'!M206)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19</v>
      </c>
      <c r="P41" s="170">
        <f>ROUND('MP-CP'!M26,1)</f>
        <v>1.4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'MP-CP'!M96</f>
        <v>1.6048390919313364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CONCATENATE('MP-CP'!M20," - Rotor Class D" )</f>
        <v>E1400 - Rotor Class D</v>
      </c>
      <c r="F2" s="233"/>
      <c r="G2" s="233"/>
      <c r="H2" s="233"/>
      <c r="J2" s="17"/>
      <c r="M2" s="127"/>
      <c r="N2" s="141" t="s">
        <v>52</v>
      </c>
      <c r="O2" s="141">
        <f>'MP-CP'!M106</f>
        <v>650</v>
      </c>
      <c r="P2" s="141">
        <f>O2*'MP-CP'!M22</f>
        <v>3412.5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'MP-CP'!M104-(P4/'MP-CP'!M22)</f>
        <v>43.001823763524158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20 rpm, 1.4hp and 5.3ft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'MP-CP'!M104</f>
        <v>420</v>
      </c>
      <c r="P4" s="141">
        <f>('MP-CP'!M104*'MP-CP'!M22)-'MP-CP'!M80</f>
        <v>1979.2404252414983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650</v>
      </c>
      <c r="P5" s="141">
        <f>('MP-CP'!M106*'MP-CP'!M22)-'MP-CP'!M82</f>
        <v>3233.8876626756655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IF('MP-CP'!M37="N/A","N/A",ROUND('MP-CP'!M37,0))</f>
        <v>20</v>
      </c>
      <c r="P6" s="141">
        <f>IF('MP-CP'!M37="N/A","N/A",'MP-CP'!X17)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IF('MP-CP'!M37="N/A",0,'MP-CP'!M108-(P8/'MP-CP'!M22))</f>
        <v>7.1002252476870353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IF('MP-CP'!M37="N/A",0,'MP-CP'!M108)</f>
        <v>650</v>
      </c>
      <c r="P8" s="141">
        <f>IF('MP-CP'!M37="N/A","N/A",('MP-CP'!M108*'MP-CP'!M22)-'MP-CP'!M70)</f>
        <v>3375.2238174496433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1.4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ROUND('MP-CP'!M40,1)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'MP-CP'!M214</f>
        <v>650</v>
      </c>
      <c r="P28" s="171">
        <f>'MP-CP'!M234</f>
        <v>12.305457890490555</v>
      </c>
      <c r="Q28" s="169">
        <f>O28</f>
        <v>650</v>
      </c>
      <c r="R28" s="170">
        <f>'MP-CP'!M314</f>
        <v>3412.5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I29" s="159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","N/A",'MP-CP'!M295)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B30" s="159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'MP-CP'!M215</f>
        <v>650</v>
      </c>
      <c r="P30" s="171">
        <f>'MP-CP'!M235</f>
        <v>18.789207890490555</v>
      </c>
      <c r="Q30" s="169">
        <f>O30</f>
        <v>650</v>
      </c>
      <c r="R30" s="170" t="str">
        <f>IF(N30=" ","N/A",'MP-CP'!M315)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159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","N/A",'MP-CP'!M296)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'MP-CP'!M216</f>
        <v>650</v>
      </c>
      <c r="P32" s="171">
        <f>'MP-CP'!M236</f>
        <v>25.272957890490549</v>
      </c>
      <c r="Q32" s="169">
        <f>O32</f>
        <v>650</v>
      </c>
      <c r="R32" s="170" t="str">
        <f>IF(N32=" ","N/A",'MP-CP'!M316)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145</v>
      </c>
      <c r="O33" s="169">
        <v>0</v>
      </c>
      <c r="P33" s="171">
        <v>0</v>
      </c>
      <c r="Q33" s="169" t="str">
        <f>IF(N34=" ","N/A",'MP-CP'!M298)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IF('MP-CP'!X19&lt;O19,"4 / 60"," ")</f>
        <v xml:space="preserve"> </v>
      </c>
      <c r="O34" s="169">
        <f>'MP-CP'!M218</f>
        <v>650</v>
      </c>
      <c r="P34" s="171">
        <f>'MP-CP'!M238</f>
        <v>38.240457890490553</v>
      </c>
      <c r="Q34" s="169">
        <f>O34</f>
        <v>650</v>
      </c>
      <c r="R34" s="170" t="str">
        <f>IF(N34=" ","N/A",'MP-CP'!M318)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147</v>
      </c>
      <c r="O35" s="169">
        <v>0</v>
      </c>
      <c r="P35" s="171">
        <v>0</v>
      </c>
      <c r="Q35" s="169" t="str">
        <f>IF(N36=" ","N/A",'MP-CP'!M300)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IF('MP-CP'!X19&lt;O18,"6 / 90"," ")</f>
        <v xml:space="preserve"> </v>
      </c>
      <c r="O36" s="169">
        <f>'MP-CP'!M220</f>
        <v>604</v>
      </c>
      <c r="P36" s="171">
        <f>'MP-CP'!M240</f>
        <v>47.584010101317368</v>
      </c>
      <c r="Q36" s="169">
        <f>O36</f>
        <v>604</v>
      </c>
      <c r="R36" s="170" t="str">
        <f>IF(N36=" ","N/A",'MP-CP'!M320)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146</v>
      </c>
      <c r="O37" s="169">
        <v>0</v>
      </c>
      <c r="P37" s="171">
        <v>0</v>
      </c>
      <c r="Q37" s="169">
        <f>IF(N38=" ","N/A",'MP-CP'!M302)</f>
        <v>43.001823763524115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IF('MP-CP'!X19&lt;O21,"8 / 120"," ")</f>
        <v>8 / 120</v>
      </c>
      <c r="O38" s="169">
        <f>'MP-CP'!M222</f>
        <v>420</v>
      </c>
      <c r="P38" s="171">
        <f>'MP-CP'!M242</f>
        <v>41.467218944624676</v>
      </c>
      <c r="Q38" s="169">
        <f>O38</f>
        <v>420</v>
      </c>
      <c r="R38" s="170">
        <f>IF(N38=" ","N/A ",'MP-CP'!M322)</f>
        <v>1979.2404252414983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","N/A",'MP-CP'!M306)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'MP-CP'!M226</f>
        <v>0</v>
      </c>
      <c r="P40" s="171">
        <f>'MP-CP'!M246</f>
        <v>0</v>
      </c>
      <c r="Q40" s="169">
        <f>O40</f>
        <v>0</v>
      </c>
      <c r="R40" s="170">
        <f>IF(N40=" ","N/A",'MP-CP'!M326)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20</v>
      </c>
      <c r="P41" s="170">
        <f>ROUND('MP-CP'!M26,1)</f>
        <v>1.4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'MP-CP'!M97</f>
        <v>1.6064841467167641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40"/>
      <c r="C45" s="40"/>
      <c r="D45" s="40"/>
      <c r="E45" s="40"/>
      <c r="F45" s="40"/>
      <c r="G45" s="40"/>
      <c r="H45" s="40"/>
      <c r="I45" s="40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CONCATENATE('MP-CP'!M20," - Rotor Class D" )</f>
        <v>E1400 - Rotor Class D</v>
      </c>
      <c r="F2" s="233"/>
      <c r="G2" s="233"/>
      <c r="H2" s="233"/>
      <c r="I2" s="17"/>
      <c r="J2" s="17"/>
      <c r="M2" s="127"/>
      <c r="N2" s="141" t="s">
        <v>52</v>
      </c>
      <c r="O2" s="141">
        <f>'MP-CP'!M106</f>
        <v>650</v>
      </c>
      <c r="P2" s="141">
        <f>O2*'MP-CP'!M22</f>
        <v>3412.5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'MP-CP'!M104-(P4/'MP-CP'!M22)</f>
        <v>43.001823763524158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'MP-CP'!M104</f>
        <v>420</v>
      </c>
      <c r="P4" s="141">
        <f>('MP-CP'!M104*'MP-CP'!M22)-'MP-CP'!M80</f>
        <v>1979.2404252414983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650</v>
      </c>
      <c r="P5" s="141">
        <f>('MP-CP'!M106*'MP-CP'!M22)-'MP-CP'!M82</f>
        <v>3233.8876626756655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IF('MP-CP'!M37="N/A","N/A",ROUND('MP-CP'!M37,0))</f>
        <v>20</v>
      </c>
      <c r="P6" s="141">
        <f>IF('MP-CP'!M37="N/A","N/A",'MP-CP'!X17)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IF('MP-CP'!M37="N/A",0,'MP-CP'!M108-(P8/'MP-CP'!M22))</f>
        <v>7.1002252476870353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IF('MP-CP'!M37="N/A",0,'MP-CP'!M108)</f>
        <v>650</v>
      </c>
      <c r="P8" s="141">
        <f>IF('MP-CP'!M37="N/A","N/A",('MP-CP'!M108*'MP-CP'!M22)-'MP-CP'!M70)</f>
        <v>3375.2238174496433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20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1.4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ROUND('MP-CP'!M40,1)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900</v>
      </c>
      <c r="P22" s="170">
        <f>O22/3.785412</f>
        <v>237.7548335557662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60*1.341022</f>
        <v>80.461320000000001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'MP-CP'!M214</f>
        <v>650</v>
      </c>
      <c r="P28" s="171">
        <f>'MP-CP'!M234</f>
        <v>12.305457890490555</v>
      </c>
      <c r="Q28" s="169">
        <f>O28</f>
        <v>650</v>
      </c>
      <c r="R28" s="170">
        <f>'MP-CP'!M314</f>
        <v>3412.5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","N/A",'MP-CP'!M295)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'MP-CP'!M215</f>
        <v>650</v>
      </c>
      <c r="P30" s="171">
        <f>'MP-CP'!M235</f>
        <v>18.789207890490555</v>
      </c>
      <c r="Q30" s="169">
        <f>O30</f>
        <v>650</v>
      </c>
      <c r="R30" s="170" t="str">
        <f>IF(N30=" ","N/A",'MP-CP'!M315)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","N/A",'MP-CP'!M296)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'MP-CP'!M216</f>
        <v>650</v>
      </c>
      <c r="P32" s="171">
        <f>'MP-CP'!M236</f>
        <v>25.272957890490549</v>
      </c>
      <c r="Q32" s="169">
        <f>O32</f>
        <v>650</v>
      </c>
      <c r="R32" s="170" t="str">
        <f>IF(N32=" ","N/A",'MP-CP'!M316)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145</v>
      </c>
      <c r="O33" s="169">
        <v>0</v>
      </c>
      <c r="P33" s="171">
        <v>0</v>
      </c>
      <c r="Q33" s="169" t="str">
        <f>IF(N34=" ","N/A",'MP-CP'!M298)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IF('MP-CP'!X19&lt;O20,"4 / 60"," ")</f>
        <v xml:space="preserve"> </v>
      </c>
      <c r="O34" s="169">
        <f>'MP-CP'!M218</f>
        <v>650</v>
      </c>
      <c r="P34" s="171">
        <f>'MP-CP'!M238</f>
        <v>38.240457890490553</v>
      </c>
      <c r="Q34" s="169">
        <f>O34</f>
        <v>650</v>
      </c>
      <c r="R34" s="170" t="str">
        <f>IF(N34=" ","N/A",'MP-CP'!M318)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147</v>
      </c>
      <c r="O35" s="169">
        <v>0</v>
      </c>
      <c r="P35" s="171">
        <v>0</v>
      </c>
      <c r="Q35" s="169" t="str">
        <f>IF(N36=" ","N/A",'MP-CP'!M300)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IF('MP-CP'!X19&lt;O18,"6 / 90"," ")</f>
        <v xml:space="preserve"> </v>
      </c>
      <c r="O36" s="169">
        <f>'MP-CP'!M220</f>
        <v>604</v>
      </c>
      <c r="P36" s="171">
        <f>'MP-CP'!M240</f>
        <v>47.584010101317368</v>
      </c>
      <c r="Q36" s="169">
        <f>O36</f>
        <v>604</v>
      </c>
      <c r="R36" s="170" t="str">
        <f>IF(N36=" ","N/A",'MP-CP'!M320)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146</v>
      </c>
      <c r="O37" s="169">
        <v>0</v>
      </c>
      <c r="P37" s="171">
        <v>0</v>
      </c>
      <c r="Q37" s="169">
        <f>IF(N38=" ","N/A",'MP-CP'!M302)</f>
        <v>43.001823763524115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IF('MP-CP'!X19&lt;O21,"8 / 120"," ")</f>
        <v>8 / 120</v>
      </c>
      <c r="O38" s="169">
        <f>'MP-CP'!M222</f>
        <v>420</v>
      </c>
      <c r="P38" s="171">
        <f>'MP-CP'!M242</f>
        <v>41.467218944624676</v>
      </c>
      <c r="Q38" s="169">
        <f>O38</f>
        <v>420</v>
      </c>
      <c r="R38" s="170">
        <f>IF(N38=" ","N/A ",'MP-CP'!M322)</f>
        <v>1979.2404252414983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","N/A",'MP-CP'!M306)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'MP-CP'!M226</f>
        <v>0</v>
      </c>
      <c r="P40" s="171">
        <f>'MP-CP'!M246</f>
        <v>0</v>
      </c>
      <c r="Q40" s="169">
        <f>O40</f>
        <v>0</v>
      </c>
      <c r="R40" s="170">
        <f>IF(N40=" ","N/A",'MP-CP'!M326)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20</v>
      </c>
      <c r="P41" s="170">
        <f>ROUND('MP-CP'!M26,1)</f>
        <v>1.4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'MP-CP'!M97</f>
        <v>1.6064841467167641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S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CONCATENATE('MP-CP'!N20," - Rotor Class B" )</f>
        <v>E1400H - Rotor Class B</v>
      </c>
      <c r="F2" s="233"/>
      <c r="G2" s="233"/>
      <c r="H2" s="233"/>
      <c r="J2" s="17"/>
      <c r="M2" s="127"/>
      <c r="N2" s="141" t="s">
        <v>52</v>
      </c>
      <c r="O2" s="141">
        <f>'MP-CP'!N106</f>
        <v>650</v>
      </c>
      <c r="P2" s="141">
        <f>O2*'MP-CP'!N22</f>
        <v>3412.5</v>
      </c>
      <c r="Q2" s="141"/>
      <c r="R2" s="141"/>
      <c r="S2" s="141"/>
      <c r="T2" s="127"/>
      <c r="U2" s="127"/>
      <c r="V2" s="168"/>
      <c r="W2" s="127"/>
      <c r="X2" s="127"/>
      <c r="Y2" s="127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'MP-CP'!N104-(P4/'MP-CP'!N22)</f>
        <v>17.246425324301441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22 rpm, 1.6hp and 5.3ft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'MP-CP'!N104</f>
        <v>150</v>
      </c>
      <c r="P4" s="141">
        <f>('MP-CP'!N104*'MP-CP'!N22)-'MP-CP'!N78</f>
        <v>696.95626704741744</v>
      </c>
      <c r="Q4" s="141"/>
      <c r="R4" s="141"/>
      <c r="S4" s="141"/>
      <c r="T4" s="127"/>
      <c r="U4" s="127"/>
      <c r="V4" s="127"/>
      <c r="W4" s="127"/>
      <c r="X4" s="127"/>
      <c r="Y4" s="127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650</v>
      </c>
      <c r="P5" s="141">
        <f>('MP-CP'!N106*'MP-CP'!N22)-'MP-CP'!N79</f>
        <v>3355.4741850026717</v>
      </c>
      <c r="Q5" s="141"/>
      <c r="R5" s="141"/>
      <c r="S5" s="141"/>
      <c r="T5" s="127"/>
      <c r="U5" s="127"/>
      <c r="V5" s="127"/>
      <c r="W5" s="127"/>
      <c r="X5" s="127"/>
      <c r="Y5" s="127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IF('MP-CP'!N25="N/A","N/A",ROUND('MP-CP'!N25,0))</f>
        <v>22</v>
      </c>
      <c r="P6" s="141">
        <f>IF('MP-CP'!N25="N/A","N/A",'MP-CP'!X17)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IF('MP-CP'!N25="N/A",0,'MP-CP'!N108-(P8/'MP-CP'!N22))</f>
        <v>9.006952965667324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IF('MP-CP'!N25="N/A",0,'MP-CP'!N108)</f>
        <v>650</v>
      </c>
      <c r="P8" s="141">
        <f>IF('MP-CP'!N25="N/A","N/A",('MP-CP'!N108*'MP-CP'!N22)-'MP-CP'!N69)</f>
        <v>3365.2134969302465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22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ROUND('MP-CP'!N28,1)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2400</v>
      </c>
      <c r="P22" s="170">
        <f>O22/3.785412</f>
        <v>634.01288948204319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35*1.341022</f>
        <v>46.935769999999998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'MP-CP'!L214</f>
        <v>650</v>
      </c>
      <c r="P28" s="171">
        <f>'MP-CP'!N234</f>
        <v>12.305457890490555</v>
      </c>
      <c r="Q28" s="169">
        <f>O28</f>
        <v>650</v>
      </c>
      <c r="R28" s="170">
        <f>'MP-CP'!N194</f>
        <v>3412.5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I29" s="159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","N/A",'MP-CP'!N175)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B30" s="159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IF('MP-CP'!X19&lt;O19,"1 / 15"," ")</f>
        <v xml:space="preserve"> </v>
      </c>
      <c r="O30" s="169">
        <f>'MP-CP'!L215</f>
        <v>650</v>
      </c>
      <c r="P30" s="171">
        <f>'MP-CP'!N235</f>
        <v>18.789207890490555</v>
      </c>
      <c r="Q30" s="169">
        <f>O30</f>
        <v>650</v>
      </c>
      <c r="R30" s="170" t="str">
        <f>IF(N30=" ","N/A",'MP-CP'!N195)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159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70" t="s">
        <v>138</v>
      </c>
      <c r="O31" s="169">
        <v>0</v>
      </c>
      <c r="P31" s="171">
        <v>0</v>
      </c>
      <c r="Q31" s="169" t="str">
        <f>IF(N32=" ","N/A",'MP-CP'!N177)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IF('MP-CP'!X19&lt;O20,"3 / 45"," ")</f>
        <v xml:space="preserve"> </v>
      </c>
      <c r="O32" s="169">
        <f>'MP-CP'!L217</f>
        <v>650</v>
      </c>
      <c r="P32" s="171">
        <f>'MP-CP'!N237</f>
        <v>31.756707890490553</v>
      </c>
      <c r="Q32" s="169">
        <f>O32</f>
        <v>650</v>
      </c>
      <c r="R32" s="170" t="str">
        <f>IF(N32=" ","N/A",'MP-CP'!N197)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70" t="s">
        <v>139</v>
      </c>
      <c r="O33" s="169">
        <v>0</v>
      </c>
      <c r="P33" s="171">
        <v>0</v>
      </c>
      <c r="Q33" s="169" t="str">
        <f>IF(N34=" ","N/A",'MP-CP'!N179)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IF('MP-CP'!X19&lt;O18,"5 / 75"," ")</f>
        <v xml:space="preserve"> </v>
      </c>
      <c r="O34" s="169">
        <f>'MP-CP'!L219</f>
        <v>650</v>
      </c>
      <c r="P34" s="171">
        <f>'MP-CP'!N239</f>
        <v>44.724207890490554</v>
      </c>
      <c r="Q34" s="169">
        <f>O34</f>
        <v>650</v>
      </c>
      <c r="R34" s="170" t="str">
        <f>IF(N34=" ","N/A",'MP-CP'!N199)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70" t="s">
        <v>140</v>
      </c>
      <c r="O35" s="169">
        <v>0</v>
      </c>
      <c r="P35" s="171">
        <v>0</v>
      </c>
      <c r="Q35" s="169" t="str">
        <f>IF(N36=" ","N/A",'MP-CP'!N181)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IF('MP-CP'!X19&lt;O20,"7 / 105"," ")</f>
        <v xml:space="preserve"> </v>
      </c>
      <c r="O36" s="169">
        <f>'MP-CP'!L221</f>
        <v>650</v>
      </c>
      <c r="P36" s="171">
        <f>'MP-CP'!N241</f>
        <v>47.450576312296967</v>
      </c>
      <c r="Q36" s="169">
        <f>O36</f>
        <v>650</v>
      </c>
      <c r="R36" s="170" t="str">
        <f>IF(N36=" ","N/A",'MP-CP'!N201)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70" t="s">
        <v>141</v>
      </c>
      <c r="O37" s="169">
        <v>0</v>
      </c>
      <c r="P37" s="171">
        <v>0</v>
      </c>
      <c r="Q37" s="169" t="str">
        <f>IF(N38=" ","N/A",'MP-CP'!N184)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IF('MP-CP'!X19&lt;O18,"10 / 150"," ")</f>
        <v xml:space="preserve"> </v>
      </c>
      <c r="O38" s="169">
        <f>'MP-CP'!L224</f>
        <v>551.42857142857144</v>
      </c>
      <c r="P38" s="171">
        <f>'MP-CP'!N244</f>
        <v>36.060909309755942</v>
      </c>
      <c r="Q38" s="169">
        <f>O38</f>
        <v>551.42857142857144</v>
      </c>
      <c r="R38" s="170" t="str">
        <f>IF(N38=" ","N/A ",'MP-CP'!N204)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","N/A",'MP-CP'!N186)</f>
        <v>17.246425324301445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'MP-CP'!L226</f>
        <v>420</v>
      </c>
      <c r="P40" s="171">
        <f>'MP-CP'!N246</f>
        <v>20.794721051651663</v>
      </c>
      <c r="Q40" s="169">
        <f>O40</f>
        <v>420</v>
      </c>
      <c r="R40" s="170">
        <f>IF(N40=" ","N/A",'MP-CP'!N206)</f>
        <v>696.95626704741744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22</v>
      </c>
      <c r="P41" s="170">
        <f>ROUND('MP-CP'!N26,1)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'MP-CP'!N96</f>
        <v>1.6101513673346486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40"/>
      <c r="C45" s="40"/>
      <c r="D45" s="40"/>
      <c r="E45" s="40"/>
      <c r="F45" s="40"/>
      <c r="G45" s="40"/>
      <c r="H45" s="40"/>
      <c r="I45" s="40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CONCATENATE('MP-CP'!N20," - Rotor Class B" )</f>
        <v>E1400H - Rotor Class B</v>
      </c>
      <c r="F2" s="233"/>
      <c r="G2" s="233"/>
      <c r="H2" s="233"/>
      <c r="I2" s="17"/>
      <c r="J2" s="17"/>
      <c r="M2" s="127"/>
      <c r="N2" s="141" t="s">
        <v>52</v>
      </c>
      <c r="O2" s="141">
        <f>'MP-CP'!N106</f>
        <v>650</v>
      </c>
      <c r="P2" s="141">
        <f>O2*'MP-CP'!N22</f>
        <v>3412.5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'MP-CP'!N104-(P4/'MP-CP'!N22)</f>
        <v>17.246425324301441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'MP-CP'!N104</f>
        <v>150</v>
      </c>
      <c r="P4" s="141">
        <f>('MP-CP'!N104*'MP-CP'!N22)-'MP-CP'!N78</f>
        <v>696.95626704741744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650</v>
      </c>
      <c r="P5" s="141">
        <f>('MP-CP'!N106*'MP-CP'!N22)-'MP-CP'!N79</f>
        <v>3355.4741850026717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IF('MP-CP'!N25="N/A","N/A",ROUND('MP-CP'!N25,0))</f>
        <v>22</v>
      </c>
      <c r="P6" s="141">
        <f>IF('MP-CP'!N25="N/A","N/A",'MP-CP'!X17)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IF('MP-CP'!N25="N/A",0,'MP-CP'!N108-(P8/'MP-CP'!N22))</f>
        <v>9.006952965667324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IF('MP-CP'!N25="N/A",0,'MP-CP'!N108)</f>
        <v>650</v>
      </c>
      <c r="P8" s="141">
        <f>IF('MP-CP'!N25="N/A","N/A",('MP-CP'!N108*'MP-CP'!N22)-'MP-CP'!N69)</f>
        <v>3365.2134969302465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650</v>
      </c>
      <c r="P10" s="141">
        <f>P2/4.546092</f>
        <v>750.64472958312331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22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ROUND('MP-CP'!N28,1)</f>
        <v>5.3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20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80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2400</v>
      </c>
      <c r="P22" s="170">
        <f>O22/3.785412</f>
        <v>634.01288948204319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60*1.341022</f>
        <v>80.461320000000001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'MP-CP'!N214</f>
        <v>650</v>
      </c>
      <c r="P28" s="171">
        <f>'MP-CP'!N234</f>
        <v>12.305457890490555</v>
      </c>
      <c r="Q28" s="169">
        <f>O28</f>
        <v>650</v>
      </c>
      <c r="R28" s="170">
        <f>'MP-CP'!N194</f>
        <v>3412.5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","N/A",'MP-CP'!N175)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'MP-CP'!N215</f>
        <v>650</v>
      </c>
      <c r="P30" s="171">
        <f>'MP-CP'!N235</f>
        <v>18.789207890490555</v>
      </c>
      <c r="Q30" s="169">
        <f>O30</f>
        <v>650</v>
      </c>
      <c r="R30" s="170" t="str">
        <f>IF(N30=" ","N/A",'MP-CP'!N195)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","N/A",'MP-CP'!N177)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IF('MP-CP'!X19&lt;O19,"3 / 45"," ")</f>
        <v xml:space="preserve"> </v>
      </c>
      <c r="O32" s="169">
        <f>'MP-CP'!N217</f>
        <v>650</v>
      </c>
      <c r="P32" s="171">
        <f>'MP-CP'!N237</f>
        <v>31.756707890490553</v>
      </c>
      <c r="Q32" s="169">
        <f>O32</f>
        <v>650</v>
      </c>
      <c r="R32" s="170" t="str">
        <f>IF(N32=" ","N/A",'MP-CP'!N197)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","N/A",'MP-CP'!N179)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'MP-CP'!N219</f>
        <v>650</v>
      </c>
      <c r="P34" s="171">
        <f>'MP-CP'!N239</f>
        <v>44.724207890490554</v>
      </c>
      <c r="Q34" s="169">
        <f>O34</f>
        <v>650</v>
      </c>
      <c r="R34" s="170" t="str">
        <f>IF(N34=" ","N/A",'MP-CP'!N199)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","N/A",'MP-CP'!N181)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'MP-CP'!N221</f>
        <v>534.61538461538464</v>
      </c>
      <c r="P36" s="171">
        <f>'MP-CP'!N241</f>
        <v>47.450576312296967</v>
      </c>
      <c r="Q36" s="169">
        <f>O36</f>
        <v>534.61538461538464</v>
      </c>
      <c r="R36" s="170" t="str">
        <f>IF(N36=" ","N/A",'MP-CP'!N201)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","N/A",'MP-CP'!N184)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'MP-CP'!N224</f>
        <v>303.84615384615387</v>
      </c>
      <c r="P38" s="171">
        <f>'MP-CP'!N244</f>
        <v>36.060909309755942</v>
      </c>
      <c r="Q38" s="169">
        <f>O38</f>
        <v>303.84615384615387</v>
      </c>
      <c r="R38" s="170" t="str">
        <f>IF(N38=" ","N/A ",'MP-CP'!N204)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","N/A",'MP-CP'!N186)</f>
        <v>17.246425324301445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'MP-CP'!N226</f>
        <v>150</v>
      </c>
      <c r="P40" s="171">
        <f>'MP-CP'!N246</f>
        <v>20.794721051651663</v>
      </c>
      <c r="Q40" s="169">
        <f>O40</f>
        <v>150</v>
      </c>
      <c r="R40" s="170">
        <f>IF(N40=" ","N/A",'MP-CP'!N206)</f>
        <v>696.95626704741744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22</v>
      </c>
      <c r="P41" s="170">
        <f>ROUND('MP-CP'!N26,1)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'MP-CP'!N96</f>
        <v>1.6101513673346486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CONCATENATE('MP-CP'!C20," - Rotor Class C" )</f>
        <v>A0015 - Rotor Class C</v>
      </c>
      <c r="F2" s="233"/>
      <c r="G2" s="233"/>
      <c r="H2" s="233"/>
      <c r="I2" s="17"/>
      <c r="J2" s="17"/>
      <c r="M2" s="127"/>
      <c r="N2" s="141" t="s">
        <v>52</v>
      </c>
      <c r="O2" s="141">
        <f>'MP-CP'!C106</f>
        <v>1400</v>
      </c>
      <c r="P2" s="141">
        <f>O2*'MP-CP'!C22</f>
        <v>64.400000000000006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'MP-CP'!C104-(P4/'MP-CP'!C22)</f>
        <v>319.15992014232756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'MP-CP'!C104</f>
        <v>1000</v>
      </c>
      <c r="P4" s="141">
        <f>('MP-CP'!C104*'MP-CP'!C22)-'MP-CP'!C83</f>
        <v>31.318643673452932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('MP-CP'!C106*'MP-CP'!C22)-'MP-CP'!C85</f>
        <v>52.330271620903076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 t="str">
        <f>IF('MP-CP'!C46="N/A","N/A",ROUND('MP-CP'!C46,0))</f>
        <v>N/A</v>
      </c>
      <c r="P6" s="141" t="str">
        <f>IF('MP-CP'!C46="N/A","N/A",'MP-CP'!X17)</f>
        <v>N/A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IF('MP-CP'!C46="N/A",0,'MP-CP'!C108-(P8/'MP-CP'!C22))</f>
        <v>0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IF('MP-CP'!C46="N/A",0,'MP-CP'!C108)</f>
        <v>0</v>
      </c>
      <c r="P8" s="141" t="str">
        <f>IF('MP-CP'!C46="N/A","N/A",('MP-CP'!C108*'MP-CP'!C22)-'MP-CP'!C71)</f>
        <v>N/A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14.166013358286635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 t="str">
        <f>O6</f>
        <v>N/A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 t="e">
        <f>P41</f>
        <v>#VALUE!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 t="e">
        <f>ROUND('MP-CP'!C49,1)</f>
        <v>#VALUE!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70</v>
      </c>
      <c r="P22" s="170">
        <f>O22/3.785412</f>
        <v>18.492042609892927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'MP-CP'!C214</f>
        <v>1400</v>
      </c>
      <c r="P28" s="171">
        <f>'MP-CP'!C234</f>
        <v>0.90700810664691922</v>
      </c>
      <c r="Q28" s="169">
        <f>O28</f>
        <v>1400</v>
      </c>
      <c r="R28" s="170">
        <f>'MP-CP'!C394</f>
        <v>64.400000000000006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","N/A",'MP-CP'!C375)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IF('MP-CP'!X19&lt;O19,"1 / 15"," ")</f>
        <v xml:space="preserve"> </v>
      </c>
      <c r="O30" s="169">
        <f>'MP-CP'!C215</f>
        <v>1400</v>
      </c>
      <c r="P30" s="171">
        <f>'MP-CP'!C235</f>
        <v>1.0293681066469191</v>
      </c>
      <c r="Q30" s="169">
        <f>O30</f>
        <v>1400</v>
      </c>
      <c r="R30" s="170" t="str">
        <f>IF(N30=" ","N/A",'MP-CP'!C395)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70" t="s">
        <v>138</v>
      </c>
      <c r="O31" s="169">
        <v>0</v>
      </c>
      <c r="P31" s="171">
        <v>0</v>
      </c>
      <c r="Q31" s="169" t="str">
        <f>IF(N32=" ","N/A",'MP-CP'!C377)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IF('MP-CP'!X19&lt;O20,"3 / 45"," ")</f>
        <v xml:space="preserve"> </v>
      </c>
      <c r="O32" s="169">
        <f>'MP-CP'!C217</f>
        <v>1400</v>
      </c>
      <c r="P32" s="171">
        <f>'MP-CP'!C237</f>
        <v>1.2740881066469192</v>
      </c>
      <c r="Q32" s="169">
        <f>O32</f>
        <v>1400</v>
      </c>
      <c r="R32" s="170" t="str">
        <f>IF(N32=" ","N/A",'MP-CP'!C397)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70" t="s">
        <v>139</v>
      </c>
      <c r="O33" s="169">
        <v>0</v>
      </c>
      <c r="P33" s="171">
        <v>0</v>
      </c>
      <c r="Q33" s="169" t="str">
        <f>IF(N34=" ","N/A",'MP-CP'!C379)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IF('MP-CP'!X19&lt;O18,"5 / 75"," ")</f>
        <v xml:space="preserve"> </v>
      </c>
      <c r="O34" s="169">
        <f>'MP-CP'!C219</f>
        <v>1400</v>
      </c>
      <c r="P34" s="171">
        <f>'MP-CP'!C239</f>
        <v>1.5188081066469192</v>
      </c>
      <c r="Q34" s="169">
        <f>O34</f>
        <v>1400</v>
      </c>
      <c r="R34" s="170" t="str">
        <f>IF(N34=" ","N/A",'MP-CP'!C399)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70" t="s">
        <v>140</v>
      </c>
      <c r="O35" s="169">
        <v>0</v>
      </c>
      <c r="P35" s="171">
        <v>0</v>
      </c>
      <c r="Q35" s="169" t="str">
        <f>IF(N36=" ","N/A",'MP-CP'!C381)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IF('MP-CP'!X19&lt;O20,"7 / 105"," ")</f>
        <v xml:space="preserve"> </v>
      </c>
      <c r="O36" s="169">
        <f>'MP-CP'!C221</f>
        <v>1400</v>
      </c>
      <c r="P36" s="171">
        <f>'MP-CP'!C241</f>
        <v>1.7635281066469191</v>
      </c>
      <c r="Q36" s="169">
        <f>O36</f>
        <v>1400</v>
      </c>
      <c r="R36" s="170" t="str">
        <f>IF(N36=" ","N/A",'MP-CP'!C401)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70" t="s">
        <v>141</v>
      </c>
      <c r="O37" s="169">
        <v>0</v>
      </c>
      <c r="P37" s="171">
        <v>0</v>
      </c>
      <c r="Q37" s="169" t="str">
        <f>IF(N38=" ","N/A",'MP-CP'!C384)</f>
        <v>N/A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IF('MP-CP'!X19&lt;O18,"10 / 150"," ")</f>
        <v xml:space="preserve"> </v>
      </c>
      <c r="O38" s="169">
        <f>'MP-CP'!C224</f>
        <v>1228.5714285714287</v>
      </c>
      <c r="P38" s="171">
        <f>'MP-CP'!C244</f>
        <v>1.869717318077909</v>
      </c>
      <c r="Q38" s="169">
        <f>O38</f>
        <v>1228.5714285714287</v>
      </c>
      <c r="R38" s="170" t="str">
        <f>IF(N38=" ","N/A ",'MP-CP'!C404)</f>
        <v xml:space="preserve">N/A 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","N/A",'MP-CP'!C386)</f>
        <v>319.15992014232762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'MP-CP'!C226</f>
        <v>1000</v>
      </c>
      <c r="P40" s="171">
        <f>'MP-CP'!C246</f>
        <v>1.6966629333192278</v>
      </c>
      <c r="Q40" s="169">
        <f>O40</f>
        <v>1000</v>
      </c>
      <c r="R40" s="170">
        <f>IF(N40=" ","N/A",'MP-CP'!C406)</f>
        <v>31.318643673452932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 t="str">
        <f>O6</f>
        <v>N/A</v>
      </c>
      <c r="P41" s="170" t="e">
        <f>ROUND('MP-CP'!C26,1)</f>
        <v>#VALUE!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 t="e">
        <f>'MP-CP'!C98</f>
        <v>#VALUE!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41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40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1" enableFormatConditionsCalculation="0">
    <tabColor rgb="FF00B050"/>
    <pageSetUpPr fitToPage="1"/>
  </sheetPr>
  <dimension ref="A1:AH62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9" width="9.28515625" customWidth="1"/>
    <col min="10" max="10" width="9.28515625" style="159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8" width="9.28515625" bestFit="1" customWidth="1"/>
  </cols>
  <sheetData>
    <row r="1" spans="1:34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99"/>
      <c r="Z1" s="102"/>
      <c r="AA1" s="47"/>
      <c r="AB1" s="47"/>
      <c r="AC1" s="47"/>
      <c r="AD1" s="47"/>
      <c r="AE1" s="47"/>
      <c r="AF1" s="47"/>
      <c r="AG1" s="47"/>
      <c r="AH1" s="47"/>
    </row>
    <row r="2" spans="1:34" ht="12.75" customHeight="1" thickBot="1" x14ac:dyDescent="0.3">
      <c r="A2" s="130"/>
      <c r="B2" s="130"/>
      <c r="C2" s="130"/>
      <c r="D2" s="130"/>
      <c r="E2" s="233" t="str">
        <f>CONCATENATE('MP-CP'!D20," - Rotor Class A" )</f>
        <v>A0025 - Rotor Class A</v>
      </c>
      <c r="F2" s="233"/>
      <c r="G2" s="233"/>
      <c r="H2" s="233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68"/>
      <c r="W2" s="127"/>
      <c r="X2" s="127"/>
      <c r="Y2" s="99"/>
      <c r="Z2" s="102"/>
      <c r="AA2" s="47"/>
      <c r="AB2" s="47"/>
      <c r="AC2" s="47"/>
      <c r="AD2" s="47"/>
      <c r="AE2" s="47"/>
      <c r="AF2" s="47"/>
      <c r="AG2" s="47"/>
      <c r="AH2" s="47"/>
    </row>
    <row r="3" spans="1:34" ht="12.75" customHeight="1" x14ac:dyDescent="0.25">
      <c r="A3" s="130"/>
      <c r="B3" s="130"/>
      <c r="C3" s="130"/>
      <c r="D3" s="17"/>
      <c r="E3" s="238" t="str">
        <f>CONCATENATE("For ",'MP-CP'!C9," ",'MP-CP'!D9," at ",'MP-CP'!C11," ",'MP-CP'!D11," and ",'MP-CP'!C10," ",'MP-CP'!D10)</f>
        <v>For 14.5 gpm at 300 cP and 3.5 Bar</v>
      </c>
      <c r="F3" s="238"/>
      <c r="G3" s="238"/>
      <c r="H3" s="238"/>
      <c r="I3" s="17"/>
      <c r="J3" s="17"/>
      <c r="K3" s="234" t="s">
        <v>97</v>
      </c>
      <c r="L3" s="235"/>
      <c r="M3" s="127"/>
      <c r="N3" s="141" t="s">
        <v>60</v>
      </c>
      <c r="O3" s="141">
        <f>'MP-CP'!D104-(P4/'MP-CP'!D22)</f>
        <v>29.268166724782873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99"/>
      <c r="Z3" s="102"/>
      <c r="AA3" s="47"/>
      <c r="AB3" s="47"/>
      <c r="AC3" s="47"/>
      <c r="AD3" s="47"/>
      <c r="AE3" s="47"/>
      <c r="AF3" s="47"/>
      <c r="AG3" s="47"/>
      <c r="AH3" s="47"/>
    </row>
    <row r="4" spans="1:34" ht="12.75" customHeight="1" thickBot="1" x14ac:dyDescent="0.3">
      <c r="A4" s="130"/>
      <c r="B4" s="130"/>
      <c r="C4" s="17"/>
      <c r="D4" s="17"/>
      <c r="E4" s="238" t="str">
        <f>IF(O6="N/A","No Selection - Outside of Operating Range",CONCATENATE(O14," rpm, ",O15,P15," and ",O16,P16," NPSHr required"))</f>
        <v>814 rpm, 1.6hp and 8.6ft NPSHr required</v>
      </c>
      <c r="F4" s="238"/>
      <c r="G4" s="238"/>
      <c r="H4" s="238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('MP-CP'!D104*'MP-CP'!D22)-'MP-CP'!D78</f>
        <v>80.570742161843029</v>
      </c>
      <c r="Q4" s="141"/>
      <c r="R4" s="141"/>
      <c r="S4" s="141"/>
      <c r="T4" s="127"/>
      <c r="U4" s="127"/>
      <c r="V4" s="127"/>
      <c r="W4" s="127"/>
      <c r="X4" s="127"/>
      <c r="Y4" s="99"/>
      <c r="Z4" s="102"/>
      <c r="AA4" s="47"/>
      <c r="AB4" s="47"/>
      <c r="AC4" s="47"/>
      <c r="AD4" s="47"/>
      <c r="AE4" s="47"/>
      <c r="AF4" s="47"/>
      <c r="AG4" s="47"/>
      <c r="AH4" s="47"/>
    </row>
    <row r="5" spans="1:34" ht="12.75" customHeight="1" x14ac:dyDescent="0.2">
      <c r="A5" s="40"/>
      <c r="B5" s="40"/>
      <c r="C5" s="40"/>
      <c r="D5" s="40"/>
      <c r="E5" s="40"/>
      <c r="F5" s="40"/>
      <c r="G5" s="40"/>
      <c r="H5" s="40"/>
      <c r="I5" s="103"/>
      <c r="J5" s="103"/>
      <c r="M5" s="127"/>
      <c r="N5" s="141" t="s">
        <v>89</v>
      </c>
      <c r="O5" s="141">
        <f>O2</f>
        <v>1400</v>
      </c>
      <c r="P5" s="141">
        <f>('MP-CP'!D106*'MP-CP'!D22)-'MP-CP'!D79</f>
        <v>114.12446738815541</v>
      </c>
      <c r="Q5" s="141"/>
      <c r="R5" s="141"/>
      <c r="S5" s="141"/>
      <c r="T5" s="127"/>
      <c r="U5" s="127"/>
      <c r="V5" s="127"/>
      <c r="W5" s="127"/>
      <c r="X5" s="127"/>
      <c r="Y5" s="99"/>
      <c r="Z5" s="102"/>
      <c r="AA5" s="47"/>
      <c r="AB5" s="47"/>
      <c r="AC5" s="47"/>
      <c r="AD5" s="47"/>
      <c r="AE5" s="47"/>
      <c r="AF5" s="47"/>
      <c r="AG5" s="47"/>
      <c r="AH5" s="4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103"/>
      <c r="J6" s="103"/>
      <c r="M6" s="127"/>
      <c r="N6" s="141" t="s">
        <v>90</v>
      </c>
      <c r="O6" s="169">
        <f>IF('MP-CP'!D25="N/A","N/A",ROUND('MP-CP'!D25,0))</f>
        <v>814</v>
      </c>
      <c r="P6" s="141">
        <f>IF('MP-CP'!D25="N/A","N/A",'MP-CP'!X17)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99"/>
      <c r="Z6" s="102"/>
      <c r="AA6" s="47"/>
      <c r="AB6" s="47"/>
      <c r="AC6" s="47"/>
      <c r="AD6" s="47"/>
      <c r="AE6" s="47"/>
      <c r="AF6" s="47"/>
      <c r="AG6" s="47"/>
      <c r="AH6" s="4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103"/>
      <c r="J7" s="103"/>
      <c r="M7" s="127"/>
      <c r="N7" s="141" t="s">
        <v>91</v>
      </c>
      <c r="O7" s="141">
        <f>IF('MP-CP'!D25="N/A",0,'MP-CP'!D108-(P8/'MP-CP'!D22))</f>
        <v>20.077887128469911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03"/>
      <c r="Z7" s="127"/>
      <c r="AA7" s="17"/>
      <c r="AB7" s="17"/>
      <c r="AC7" s="17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103"/>
      <c r="J8" s="103"/>
      <c r="M8" s="127"/>
      <c r="N8" s="141" t="s">
        <v>92</v>
      </c>
      <c r="O8" s="141">
        <f>IF('MP-CP'!D25="N/A",0,'MP-CP'!D108)</f>
        <v>1400</v>
      </c>
      <c r="P8" s="141">
        <f>IF('MP-CP'!D25="N/A","N/A",('MP-CP'!D108*'MP-CP'!D22)-'MP-CP'!D69)</f>
        <v>114.533535368337</v>
      </c>
      <c r="Q8" s="141"/>
      <c r="R8" s="141"/>
      <c r="S8" s="141"/>
      <c r="T8" s="127"/>
      <c r="U8" s="127"/>
      <c r="V8" s="127"/>
      <c r="W8" s="127"/>
      <c r="X8" s="127"/>
      <c r="Y8" s="103"/>
      <c r="Z8" s="127"/>
      <c r="AA8" s="17"/>
      <c r="AB8" s="17"/>
      <c r="AC8" s="17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103"/>
      <c r="J9" s="103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03"/>
      <c r="Z9" s="127"/>
      <c r="AA9" s="17"/>
      <c r="AB9" s="17"/>
      <c r="AC9" s="17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103"/>
      <c r="J10" s="103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03"/>
      <c r="Z10" s="12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103"/>
      <c r="J11" s="103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03"/>
      <c r="Z11" s="12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103"/>
      <c r="J12" s="103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03"/>
      <c r="Z12" s="12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103"/>
      <c r="J13" s="103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03"/>
      <c r="Z13" s="12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103"/>
      <c r="J14" s="103"/>
      <c r="M14" s="127"/>
      <c r="N14" s="141" t="s">
        <v>131</v>
      </c>
      <c r="O14" s="169">
        <f>O6</f>
        <v>814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03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103"/>
      <c r="J15" s="103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03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103"/>
      <c r="J16" s="103"/>
      <c r="M16" s="127"/>
      <c r="N16" s="141"/>
      <c r="O16" s="141">
        <f>ROUND('MP-CP'!D28,1)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03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103"/>
      <c r="J17" s="103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03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103"/>
      <c r="J18" s="103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03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103"/>
      <c r="J19" s="103"/>
      <c r="K19" s="103"/>
      <c r="L19" s="103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03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103"/>
      <c r="J20" s="103"/>
      <c r="K20" s="103"/>
      <c r="L20" s="103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03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103"/>
      <c r="J21" s="103"/>
      <c r="K21" s="103"/>
      <c r="L21" s="103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03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103"/>
      <c r="J22" s="103"/>
      <c r="K22" s="103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03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103"/>
      <c r="J23" s="103"/>
      <c r="K23" s="103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03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103"/>
      <c r="J24" s="103"/>
      <c r="K24" s="103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03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103"/>
      <c r="J25" s="103"/>
      <c r="K25" s="103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03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103"/>
      <c r="J26" s="103"/>
      <c r="K26" s="103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03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F27" s="40"/>
      <c r="G27" s="40"/>
      <c r="H27" s="40"/>
      <c r="I27" s="103"/>
      <c r="J27" s="103"/>
      <c r="K27" s="103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03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40"/>
      <c r="B28" s="40"/>
      <c r="C28" s="40" t="s">
        <v>95</v>
      </c>
      <c r="D28" s="40"/>
      <c r="E28" s="40"/>
      <c r="G28" s="40" t="s">
        <v>93</v>
      </c>
      <c r="H28" s="17"/>
      <c r="I28" s="103"/>
      <c r="J28" s="103"/>
      <c r="K28" s="103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'MP-CP'!D194</f>
        <v>116.2</v>
      </c>
      <c r="S28" s="141"/>
      <c r="T28" s="127"/>
      <c r="U28" s="127"/>
      <c r="V28" s="127"/>
      <c r="W28" s="127"/>
      <c r="X28" s="127"/>
      <c r="Y28" s="103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0"/>
      <c r="B29" s="40"/>
      <c r="C29" s="40" t="s">
        <v>94</v>
      </c>
      <c r="D29" s="40"/>
      <c r="E29" s="40"/>
      <c r="F29" s="40"/>
      <c r="G29" s="128" t="s">
        <v>123</v>
      </c>
      <c r="H29" s="17"/>
      <c r="I29" s="159"/>
      <c r="J29" s="103"/>
      <c r="K29" s="103"/>
      <c r="M29" s="127"/>
      <c r="N29" s="170" t="s">
        <v>137</v>
      </c>
      <c r="O29" s="141">
        <v>0</v>
      </c>
      <c r="P29" s="171">
        <v>0</v>
      </c>
      <c r="Q29" s="169" t="str">
        <f>IF(N30=" ","N/A",'MP-CP'!D175)</f>
        <v>N/A</v>
      </c>
      <c r="R29" s="141">
        <v>0</v>
      </c>
      <c r="S29" s="141"/>
      <c r="T29" s="127"/>
      <c r="U29" s="127"/>
      <c r="V29" s="127"/>
      <c r="W29" s="127"/>
      <c r="X29" s="127"/>
      <c r="Y29" s="103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40"/>
      <c r="B30" s="159"/>
      <c r="C30" s="17"/>
      <c r="D30" s="17"/>
      <c r="E30" s="17"/>
      <c r="F30" s="17"/>
      <c r="G30" s="17"/>
      <c r="H30" s="17"/>
      <c r="I30" s="103"/>
      <c r="J30" s="103"/>
      <c r="K30" s="103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","N/A",'MP-CP'!D195)</f>
        <v>N/A</v>
      </c>
      <c r="S30" s="141"/>
      <c r="T30" s="127"/>
      <c r="U30" s="127"/>
      <c r="V30" s="127"/>
      <c r="W30" s="127"/>
      <c r="X30" s="127"/>
      <c r="Y30" s="103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159"/>
      <c r="C31" s="17"/>
      <c r="D31" s="17"/>
      <c r="E31" s="17"/>
      <c r="F31" s="17"/>
      <c r="G31" s="17"/>
      <c r="H31" s="17"/>
      <c r="I31" s="103"/>
      <c r="J31" s="103"/>
      <c r="K31" s="103"/>
      <c r="M31" s="127"/>
      <c r="N31" s="192" t="s">
        <v>144</v>
      </c>
      <c r="O31" s="169">
        <v>0</v>
      </c>
      <c r="P31" s="171">
        <v>0</v>
      </c>
      <c r="Q31" s="169" t="str">
        <f>IF(N32=" ","N/A",'MP-CP'!D176)</f>
        <v>N/A</v>
      </c>
      <c r="R31" s="141">
        <v>0</v>
      </c>
      <c r="S31" s="141"/>
      <c r="T31" s="127"/>
      <c r="U31" s="127"/>
      <c r="V31" s="127"/>
      <c r="W31" s="127"/>
      <c r="X31" s="127"/>
      <c r="Y31" s="103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03"/>
      <c r="J32" s="103"/>
      <c r="K32" s="103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","N/A",'MP-CP'!D196)</f>
        <v>N/A</v>
      </c>
      <c r="S32" s="141"/>
      <c r="T32" s="127"/>
      <c r="U32" s="127"/>
      <c r="V32" s="127"/>
      <c r="W32" s="127"/>
      <c r="X32" s="127"/>
      <c r="Y32" s="103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17"/>
      <c r="D33" s="17"/>
      <c r="E33" s="17"/>
      <c r="F33" s="17"/>
      <c r="G33" s="17"/>
      <c r="H33" s="17"/>
      <c r="I33" s="103"/>
      <c r="J33" s="103"/>
      <c r="K33" s="103"/>
      <c r="M33" s="127"/>
      <c r="N33" s="192" t="s">
        <v>145</v>
      </c>
      <c r="O33" s="169">
        <v>0</v>
      </c>
      <c r="P33" s="171">
        <v>0</v>
      </c>
      <c r="Q33" s="169" t="str">
        <f>IF(N34=" ","N/A",'MP-CP'!D178)</f>
        <v>N/A</v>
      </c>
      <c r="R33" s="141">
        <v>0</v>
      </c>
      <c r="S33" s="141"/>
      <c r="T33" s="127"/>
      <c r="U33" s="127"/>
      <c r="V33" s="127"/>
      <c r="W33" s="127"/>
      <c r="X33" s="127"/>
      <c r="Y33" s="103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103"/>
      <c r="J34" s="103"/>
      <c r="K34" s="103"/>
      <c r="M34" s="127"/>
      <c r="N34" s="170" t="str">
        <f>IF('MP-CP'!X19&lt;O19,"4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","N/A",'MP-CP'!D198)</f>
        <v>N/A</v>
      </c>
      <c r="S34" s="141"/>
      <c r="T34" s="127"/>
      <c r="U34" s="127"/>
      <c r="V34" s="127"/>
      <c r="W34" s="127"/>
      <c r="X34" s="127"/>
      <c r="Y34" s="103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103"/>
      <c r="J35" s="103"/>
      <c r="K35" s="103"/>
      <c r="M35" s="127"/>
      <c r="N35" s="192" t="s">
        <v>147</v>
      </c>
      <c r="O35" s="169">
        <v>0</v>
      </c>
      <c r="P35" s="171">
        <v>0</v>
      </c>
      <c r="Q35" s="169" t="str">
        <f>IF(N36=" ","N/A",'MP-CP'!D180)</f>
        <v>N/A</v>
      </c>
      <c r="R35" s="141">
        <v>0</v>
      </c>
      <c r="S35" s="141"/>
      <c r="T35" s="127"/>
      <c r="U35" s="127"/>
      <c r="V35" s="127"/>
      <c r="W35" s="127"/>
      <c r="X35" s="127"/>
      <c r="Y35" s="103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103"/>
      <c r="J36" s="103"/>
      <c r="K36" s="103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","N/A",'MP-CP'!D200)</f>
        <v>N/A</v>
      </c>
      <c r="S36" s="141"/>
      <c r="T36" s="127"/>
      <c r="U36" s="127"/>
      <c r="V36" s="127"/>
      <c r="W36" s="127"/>
      <c r="X36" s="127"/>
      <c r="Y36" s="103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103"/>
      <c r="J37" s="103"/>
      <c r="K37" s="103"/>
      <c r="M37" s="127"/>
      <c r="N37" s="192" t="s">
        <v>146</v>
      </c>
      <c r="O37" s="169">
        <v>0</v>
      </c>
      <c r="P37" s="171">
        <v>0</v>
      </c>
      <c r="Q37" s="169">
        <f>IF(N38=" ","N/A",'MP-CP'!D182)</f>
        <v>29.268166724782787</v>
      </c>
      <c r="R37" s="141">
        <v>0</v>
      </c>
      <c r="S37" s="141"/>
      <c r="T37" s="127"/>
      <c r="U37" s="127"/>
      <c r="V37" s="127"/>
      <c r="W37" s="127"/>
      <c r="X37" s="127"/>
      <c r="Y37" s="103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103"/>
      <c r="J38" s="103"/>
      <c r="K38" s="103"/>
      <c r="L38" s="103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",'MP-CP'!D202)</f>
        <v>80.570742161843029</v>
      </c>
      <c r="S38" s="141"/>
      <c r="T38" s="127"/>
      <c r="U38" s="127"/>
      <c r="V38" s="127"/>
      <c r="W38" s="127"/>
      <c r="X38" s="127"/>
      <c r="Y38" s="103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103"/>
      <c r="J39" s="103"/>
      <c r="K39" s="103"/>
      <c r="L39" s="103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03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103"/>
      <c r="J40" s="103"/>
      <c r="K40" s="103"/>
      <c r="L40" s="103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03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103"/>
      <c r="J41" s="103"/>
      <c r="K41" s="103"/>
      <c r="L41" s="103"/>
      <c r="M41" s="127"/>
      <c r="N41" s="141" t="s">
        <v>102</v>
      </c>
      <c r="O41" s="169">
        <f>O6</f>
        <v>814</v>
      </c>
      <c r="P41" s="170">
        <f>ROUND('MP-CP'!D26,1)</f>
        <v>1.6</v>
      </c>
      <c r="Q41" s="141"/>
      <c r="R41" s="141"/>
      <c r="S41" s="141"/>
      <c r="T41" s="127"/>
      <c r="U41" s="127"/>
      <c r="V41" s="127"/>
      <c r="W41" s="127"/>
      <c r="X41" s="127"/>
      <c r="Y41" s="103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127"/>
      <c r="L42" s="127"/>
      <c r="M42" s="127"/>
      <c r="N42" s="127"/>
      <c r="O42" s="127"/>
      <c r="P42" s="191">
        <f>'MP-CP'!D96</f>
        <v>2.6142592358143673</v>
      </c>
      <c r="Q42" s="127"/>
      <c r="R42" s="127"/>
      <c r="S42" s="141"/>
      <c r="T42" s="127"/>
      <c r="U42" s="127"/>
      <c r="V42" s="127"/>
      <c r="W42" s="127"/>
      <c r="X42" s="127"/>
      <c r="Y42" s="103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127"/>
      <c r="L43" s="127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03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127"/>
      <c r="L44" s="127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03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"/>
      <c r="B45" s="40"/>
      <c r="C45" s="40"/>
      <c r="D45" s="40"/>
      <c r="E45" s="40"/>
      <c r="F45" s="40"/>
      <c r="G45" s="40"/>
      <c r="H45" s="40"/>
      <c r="I45" s="40"/>
      <c r="J45" s="40"/>
      <c r="K45" s="127"/>
      <c r="L45" s="12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03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03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03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03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03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4" x14ac:dyDescent="0.2"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</sheetData>
  <sheetProtection selectLockedCells="1"/>
  <mergeCells count="4">
    <mergeCell ref="E2:H2"/>
    <mergeCell ref="E3:H3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Q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1" enableFormatConditionsCalculation="0">
    <tabColor rgb="FF00B050"/>
    <pageSetUpPr fitToPage="1"/>
  </sheetPr>
  <dimension ref="A1:AH61"/>
  <sheetViews>
    <sheetView showRowColHeaders="0" workbookViewId="0">
      <selection activeCell="K3" sqref="K3:L4"/>
    </sheetView>
  </sheetViews>
  <sheetFormatPr baseColWidth="10" defaultColWidth="8.85546875" defaultRowHeight="12.75" x14ac:dyDescent="0.2"/>
  <cols>
    <col min="1" max="10" width="9.28515625" customWidth="1"/>
    <col min="11" max="13" width="9.28515625" style="17" customWidth="1"/>
    <col min="14" max="14" width="12.140625" style="47" bestFit="1" customWidth="1"/>
    <col min="15" max="15" width="13.140625" bestFit="1" customWidth="1"/>
    <col min="16" max="16" width="9.7109375" bestFit="1" customWidth="1"/>
    <col min="17" max="18" width="9.28515625" bestFit="1" customWidth="1"/>
  </cols>
  <sheetData>
    <row r="1" spans="1:34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M1" s="127"/>
      <c r="N1" s="141" t="s">
        <v>51</v>
      </c>
      <c r="O1" s="141">
        <v>0</v>
      </c>
      <c r="P1" s="141">
        <v>0</v>
      </c>
      <c r="Q1" s="141"/>
      <c r="R1" s="141"/>
      <c r="S1" s="127"/>
      <c r="T1" s="127"/>
      <c r="U1" s="127"/>
      <c r="V1" s="127"/>
      <c r="W1" s="127"/>
      <c r="X1" s="127"/>
      <c r="Y1" s="127"/>
      <c r="Z1" s="127"/>
      <c r="AA1" s="103"/>
      <c r="AB1" s="103"/>
      <c r="AC1" s="103"/>
    </row>
    <row r="2" spans="1:34" ht="12.75" customHeight="1" thickBot="1" x14ac:dyDescent="0.3">
      <c r="A2" s="17"/>
      <c r="B2" s="17"/>
      <c r="C2" s="17"/>
      <c r="D2" s="17"/>
      <c r="E2" s="233" t="str">
        <f>CONCATENATE('MP-CP'!D20," - Rotor Class A" )</f>
        <v>A0025 - Rotor Class A</v>
      </c>
      <c r="F2" s="233"/>
      <c r="G2" s="233"/>
      <c r="H2" s="233"/>
      <c r="I2" s="17"/>
      <c r="J2" s="17"/>
      <c r="M2" s="127"/>
      <c r="N2" s="141" t="s">
        <v>52</v>
      </c>
      <c r="O2" s="141">
        <f>'MP-CP'!D106</f>
        <v>1400</v>
      </c>
      <c r="P2" s="141">
        <f>O2*'MP-CP'!D22</f>
        <v>116.2</v>
      </c>
      <c r="Q2" s="141"/>
      <c r="R2" s="141"/>
      <c r="S2" s="141"/>
      <c r="T2" s="127"/>
      <c r="U2" s="127"/>
      <c r="V2" s="127"/>
      <c r="W2" s="127"/>
      <c r="X2" s="127"/>
      <c r="Y2" s="127"/>
      <c r="Z2" s="127"/>
      <c r="AA2" s="103"/>
      <c r="AB2" s="103"/>
      <c r="AC2" s="103"/>
      <c r="AD2" s="17"/>
      <c r="AE2" s="17"/>
      <c r="AF2" s="17"/>
      <c r="AG2" s="17"/>
      <c r="AH2" s="17"/>
    </row>
    <row r="3" spans="1:34" ht="12.75" customHeight="1" x14ac:dyDescent="0.25">
      <c r="A3" s="40"/>
      <c r="B3" s="131"/>
      <c r="C3" s="131"/>
      <c r="D3" s="130"/>
      <c r="F3" s="17"/>
      <c r="G3" s="17"/>
      <c r="H3" s="17"/>
      <c r="I3" s="17"/>
      <c r="J3" s="130"/>
      <c r="K3" s="234" t="s">
        <v>97</v>
      </c>
      <c r="L3" s="235"/>
      <c r="M3" s="127"/>
      <c r="N3" s="141" t="s">
        <v>60</v>
      </c>
      <c r="O3" s="141">
        <f>'MP-CP'!D104-(P4/'MP-CP'!D22)</f>
        <v>29.268166724782873</v>
      </c>
      <c r="P3" s="141">
        <v>0</v>
      </c>
      <c r="Q3" s="141"/>
      <c r="R3" s="141"/>
      <c r="S3" s="141"/>
      <c r="T3" s="127"/>
      <c r="U3" s="127"/>
      <c r="V3" s="127"/>
      <c r="W3" s="127"/>
      <c r="X3" s="127"/>
      <c r="Y3" s="127"/>
      <c r="Z3" s="127"/>
      <c r="AA3" s="103"/>
      <c r="AB3" s="103"/>
      <c r="AC3" s="103"/>
      <c r="AD3" s="17"/>
      <c r="AE3" s="17"/>
      <c r="AF3" s="17"/>
      <c r="AG3" s="17"/>
      <c r="AH3" s="17"/>
    </row>
    <row r="4" spans="1:34" ht="15.75" thickBot="1" x14ac:dyDescent="0.3">
      <c r="A4" s="17"/>
      <c r="B4" s="17"/>
      <c r="C4" s="17"/>
      <c r="D4" s="17"/>
      <c r="E4" s="233" t="str">
        <f>CONCATENATE("Typical performance - ",'MP-CP'!C11,'MP-CP'!D11,)</f>
        <v>Typical performance - 300cP</v>
      </c>
      <c r="F4" s="233"/>
      <c r="G4" s="233"/>
      <c r="H4" s="233"/>
      <c r="I4" s="17"/>
      <c r="J4" s="17"/>
      <c r="K4" s="236"/>
      <c r="L4" s="237"/>
      <c r="M4" s="127"/>
      <c r="N4" s="141" t="s">
        <v>59</v>
      </c>
      <c r="O4" s="141">
        <f>'MP-CP'!D104</f>
        <v>1000</v>
      </c>
      <c r="P4" s="141">
        <f>('MP-CP'!D104*'MP-CP'!D22)-'MP-CP'!D78</f>
        <v>80.570742161843029</v>
      </c>
      <c r="Q4" s="141"/>
      <c r="R4" s="141"/>
      <c r="S4" s="141"/>
      <c r="T4" s="127"/>
      <c r="U4" s="127"/>
      <c r="V4" s="127"/>
      <c r="W4" s="127"/>
      <c r="X4" s="127"/>
      <c r="Y4" s="127"/>
      <c r="Z4" s="127"/>
      <c r="AA4" s="103"/>
      <c r="AB4" s="103"/>
      <c r="AC4" s="103"/>
      <c r="AD4" s="17"/>
      <c r="AE4" s="17"/>
      <c r="AF4" s="17"/>
      <c r="AG4" s="17"/>
      <c r="AH4" s="17"/>
    </row>
    <row r="5" spans="1:34" x14ac:dyDescent="0.2">
      <c r="A5" s="40"/>
      <c r="B5" s="40"/>
      <c r="C5" s="40"/>
      <c r="D5" s="40"/>
      <c r="E5" s="40"/>
      <c r="F5" s="40"/>
      <c r="G5" s="40"/>
      <c r="H5" s="103"/>
      <c r="I5" s="103"/>
      <c r="J5" s="40"/>
      <c r="M5" s="127"/>
      <c r="N5" s="141" t="s">
        <v>89</v>
      </c>
      <c r="O5" s="141">
        <f>O2</f>
        <v>1400</v>
      </c>
      <c r="P5" s="141">
        <f>('MP-CP'!D106*'MP-CP'!D22)-'MP-CP'!D79</f>
        <v>114.12446738815541</v>
      </c>
      <c r="Q5" s="141"/>
      <c r="R5" s="141"/>
      <c r="S5" s="141"/>
      <c r="T5" s="127"/>
      <c r="U5" s="127"/>
      <c r="V5" s="127"/>
      <c r="W5" s="127"/>
      <c r="X5" s="127"/>
      <c r="Y5" s="127"/>
      <c r="Z5" s="127"/>
      <c r="AA5" s="103"/>
      <c r="AB5" s="103"/>
      <c r="AC5" s="103"/>
      <c r="AD5" s="17"/>
      <c r="AE5" s="17"/>
      <c r="AF5" s="17"/>
      <c r="AG5" s="17"/>
      <c r="AH5" s="17"/>
    </row>
    <row r="6" spans="1:3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M6" s="127"/>
      <c r="N6" s="141" t="s">
        <v>90</v>
      </c>
      <c r="O6" s="169">
        <f>IF('MP-CP'!D25="N/A","N/A",ROUND('MP-CP'!D25,0))</f>
        <v>814</v>
      </c>
      <c r="P6" s="141">
        <f>IF('MP-CP'!D25="N/A","N/A",'MP-CP'!X17)</f>
        <v>65.918334000000002</v>
      </c>
      <c r="Q6" s="141"/>
      <c r="R6" s="141"/>
      <c r="S6" s="141"/>
      <c r="T6" s="127"/>
      <c r="U6" s="127"/>
      <c r="V6" s="127"/>
      <c r="W6" s="127"/>
      <c r="X6" s="127"/>
      <c r="Y6" s="127"/>
      <c r="Z6" s="127"/>
      <c r="AA6" s="103"/>
      <c r="AB6" s="103"/>
      <c r="AC6" s="103"/>
      <c r="AD6" s="17"/>
      <c r="AE6" s="17"/>
      <c r="AF6" s="17"/>
      <c r="AG6" s="17"/>
      <c r="AH6" s="17"/>
    </row>
    <row r="7" spans="1:34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M7" s="127"/>
      <c r="N7" s="141" t="s">
        <v>91</v>
      </c>
      <c r="O7" s="141">
        <f>IF('MP-CP'!D25="N/A",0,'MP-CP'!D108-(P8/'MP-CP'!D22))</f>
        <v>20.077887128469911</v>
      </c>
      <c r="P7" s="141">
        <v>0</v>
      </c>
      <c r="Q7" s="141"/>
      <c r="R7" s="141"/>
      <c r="S7" s="141"/>
      <c r="T7" s="127"/>
      <c r="U7" s="127"/>
      <c r="V7" s="127"/>
      <c r="W7" s="127"/>
      <c r="X7" s="127"/>
      <c r="Y7" s="127"/>
      <c r="Z7" s="127"/>
      <c r="AA7" s="103"/>
      <c r="AB7" s="103"/>
      <c r="AC7" s="103"/>
      <c r="AD7" s="17"/>
      <c r="AE7" s="17"/>
      <c r="AF7" s="17"/>
      <c r="AG7" s="17"/>
      <c r="AH7" s="17"/>
    </row>
    <row r="8" spans="1:34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M8" s="127"/>
      <c r="N8" s="141" t="s">
        <v>92</v>
      </c>
      <c r="O8" s="141">
        <f>IF('MP-CP'!D25="N/A",0,'MP-CP'!D108)</f>
        <v>1400</v>
      </c>
      <c r="P8" s="141">
        <f>IF('MP-CP'!D25="N/A","N/A",('MP-CP'!D108*'MP-CP'!D22)-'MP-CP'!D69)</f>
        <v>114.533535368337</v>
      </c>
      <c r="Q8" s="141"/>
      <c r="R8" s="141"/>
      <c r="S8" s="141"/>
      <c r="T8" s="127"/>
      <c r="U8" s="127"/>
      <c r="V8" s="127"/>
      <c r="W8" s="127"/>
      <c r="X8" s="127"/>
      <c r="Y8" s="127"/>
      <c r="Z8" s="127"/>
      <c r="AA8" s="103"/>
      <c r="AB8" s="103"/>
      <c r="AC8" s="103"/>
      <c r="AD8" s="17"/>
      <c r="AE8" s="17"/>
      <c r="AF8" s="17"/>
      <c r="AG8" s="17"/>
      <c r="AH8" s="17"/>
    </row>
    <row r="9" spans="1:34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M9" s="127"/>
      <c r="N9" s="141" t="s">
        <v>98</v>
      </c>
      <c r="O9" s="141">
        <f>O1</f>
        <v>0</v>
      </c>
      <c r="P9" s="141">
        <f>P1</f>
        <v>0</v>
      </c>
      <c r="Q9" s="141"/>
      <c r="R9" s="141"/>
      <c r="S9" s="141"/>
      <c r="T9" s="127"/>
      <c r="U9" s="127"/>
      <c r="V9" s="127"/>
      <c r="W9" s="127"/>
      <c r="X9" s="127"/>
      <c r="Y9" s="127"/>
      <c r="Z9" s="127"/>
      <c r="AA9" s="103"/>
      <c r="AB9" s="103"/>
      <c r="AC9" s="103"/>
      <c r="AD9" s="17"/>
      <c r="AE9" s="17"/>
      <c r="AF9" s="17"/>
      <c r="AG9" s="17"/>
      <c r="AH9" s="17"/>
    </row>
    <row r="10" spans="1:34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M10" s="127"/>
      <c r="N10" s="141" t="s">
        <v>99</v>
      </c>
      <c r="O10" s="141">
        <f>O2</f>
        <v>1400</v>
      </c>
      <c r="P10" s="141">
        <f>P2/4.546092</f>
        <v>25.560415407343275</v>
      </c>
      <c r="Q10" s="141"/>
      <c r="R10" s="141"/>
      <c r="S10" s="141"/>
      <c r="T10" s="127"/>
      <c r="U10" s="127"/>
      <c r="V10" s="127"/>
      <c r="W10" s="127"/>
      <c r="X10" s="127"/>
      <c r="Y10" s="127"/>
      <c r="Z10" s="127"/>
      <c r="AA10" s="103"/>
      <c r="AB10" s="103"/>
      <c r="AC10" s="103"/>
      <c r="AD10" s="17"/>
      <c r="AE10" s="17"/>
      <c r="AF10" s="17"/>
      <c r="AG10" s="17"/>
      <c r="AH10" s="17"/>
    </row>
    <row r="11" spans="1:34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M11" s="127"/>
      <c r="N11" s="141"/>
      <c r="O11" s="127"/>
      <c r="P11" s="127"/>
      <c r="Q11" s="141"/>
      <c r="R11" s="141"/>
      <c r="S11" s="141"/>
      <c r="T11" s="127"/>
      <c r="U11" s="127"/>
      <c r="V11" s="127"/>
      <c r="W11" s="127"/>
      <c r="X11" s="127"/>
      <c r="Y11" s="127"/>
      <c r="Z11" s="127"/>
      <c r="AA11" s="103"/>
      <c r="AB11" s="103"/>
      <c r="AC11" s="103"/>
      <c r="AD11" s="17"/>
      <c r="AE11" s="17"/>
      <c r="AF11" s="17"/>
      <c r="AG11" s="17"/>
      <c r="AH11" s="17"/>
    </row>
    <row r="12" spans="1:34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M12" s="127"/>
      <c r="N12" s="127"/>
      <c r="O12" s="127"/>
      <c r="P12" s="127"/>
      <c r="Q12" s="141"/>
      <c r="R12" s="141"/>
      <c r="S12" s="141"/>
      <c r="T12" s="127"/>
      <c r="U12" s="127"/>
      <c r="V12" s="127"/>
      <c r="W12" s="127"/>
      <c r="X12" s="127"/>
      <c r="Y12" s="127"/>
      <c r="Z12" s="127"/>
      <c r="AA12" s="103"/>
      <c r="AB12" s="103"/>
      <c r="AC12" s="103"/>
      <c r="AD12" s="17"/>
      <c r="AE12" s="17"/>
      <c r="AF12" s="17"/>
      <c r="AG12" s="17"/>
      <c r="AH12" s="17"/>
    </row>
    <row r="13" spans="1:34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M13" s="127"/>
      <c r="N13" s="141"/>
      <c r="O13" s="141"/>
      <c r="P13" s="141"/>
      <c r="Q13" s="141"/>
      <c r="R13" s="141"/>
      <c r="S13" s="141"/>
      <c r="T13" s="127"/>
      <c r="U13" s="127"/>
      <c r="V13" s="127"/>
      <c r="W13" s="127"/>
      <c r="X13" s="127"/>
      <c r="Y13" s="127"/>
      <c r="Z13" s="127"/>
      <c r="AA13" s="103"/>
      <c r="AB13" s="103"/>
      <c r="AC13" s="103"/>
      <c r="AD13" s="17"/>
      <c r="AE13" s="17"/>
      <c r="AF13" s="17"/>
      <c r="AG13" s="17"/>
      <c r="AH13" s="17"/>
    </row>
    <row r="14" spans="1:34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M14" s="127"/>
      <c r="N14" s="141" t="s">
        <v>131</v>
      </c>
      <c r="O14" s="169">
        <f>O6</f>
        <v>814</v>
      </c>
      <c r="P14" s="141" t="s">
        <v>122</v>
      </c>
      <c r="Q14" s="141"/>
      <c r="R14" s="141"/>
      <c r="S14" s="141"/>
      <c r="T14" s="127"/>
      <c r="U14" s="127"/>
      <c r="V14" s="127"/>
      <c r="W14" s="127"/>
      <c r="X14" s="127"/>
      <c r="Y14" s="127"/>
      <c r="Z14" s="12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M15" s="127"/>
      <c r="N15" s="141"/>
      <c r="O15" s="170">
        <f>P41</f>
        <v>1.6</v>
      </c>
      <c r="P15" s="141" t="str">
        <f>IF('MP-CP'!$B$38="Power required - kw","kw","hp")</f>
        <v>hp</v>
      </c>
      <c r="Q15" s="141"/>
      <c r="R15" s="141"/>
      <c r="S15" s="141"/>
      <c r="T15" s="127"/>
      <c r="U15" s="127"/>
      <c r="V15" s="127"/>
      <c r="W15" s="127"/>
      <c r="X15" s="127"/>
      <c r="Y15" s="127"/>
      <c r="Z15" s="12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M16" s="127"/>
      <c r="N16" s="141"/>
      <c r="O16" s="141">
        <f>ROUND('MP-CP'!D28,1)</f>
        <v>8.6</v>
      </c>
      <c r="P16" s="141" t="str">
        <f>(IF('MP-CP'!$B$28="NPSHr  -  m","m","ft"))</f>
        <v>ft</v>
      </c>
      <c r="Q16" s="141"/>
      <c r="R16" s="141"/>
      <c r="S16" s="141"/>
      <c r="T16" s="127"/>
      <c r="U16" s="127"/>
      <c r="V16" s="127"/>
      <c r="W16" s="127"/>
      <c r="X16" s="127"/>
      <c r="Y16" s="127"/>
      <c r="Z16" s="12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M17" s="127"/>
      <c r="N17" s="141"/>
      <c r="O17" s="141"/>
      <c r="P17" s="141"/>
      <c r="Q17" s="141"/>
      <c r="R17" s="141"/>
      <c r="S17" s="141"/>
      <c r="T17" s="127"/>
      <c r="U17" s="127"/>
      <c r="V17" s="127"/>
      <c r="W17" s="127"/>
      <c r="X17" s="127"/>
      <c r="Y17" s="127"/>
      <c r="Z17" s="12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M18" s="127"/>
      <c r="N18" s="141" t="s">
        <v>105</v>
      </c>
      <c r="O18" s="141">
        <v>25</v>
      </c>
      <c r="P18" s="141"/>
      <c r="Q18" s="141"/>
      <c r="R18" s="141"/>
      <c r="S18" s="141"/>
      <c r="T18" s="127"/>
      <c r="U18" s="127"/>
      <c r="V18" s="127"/>
      <c r="W18" s="127"/>
      <c r="X18" s="127"/>
      <c r="Y18" s="127"/>
      <c r="Z18" s="12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M19" s="127"/>
      <c r="N19" s="141"/>
      <c r="O19" s="141">
        <v>100</v>
      </c>
      <c r="P19" s="141"/>
      <c r="Q19" s="141"/>
      <c r="R19" s="141"/>
      <c r="S19" s="141"/>
      <c r="T19" s="127"/>
      <c r="U19" s="127"/>
      <c r="V19" s="127"/>
      <c r="W19" s="127"/>
      <c r="X19" s="127"/>
      <c r="Y19" s="127"/>
      <c r="Z19" s="12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M20" s="127"/>
      <c r="N20" s="141"/>
      <c r="O20" s="141">
        <v>250</v>
      </c>
      <c r="P20" s="141"/>
      <c r="Q20" s="141"/>
      <c r="R20" s="141"/>
      <c r="S20" s="141"/>
      <c r="T20" s="127"/>
      <c r="U20" s="127"/>
      <c r="V20" s="127"/>
      <c r="W20" s="127"/>
      <c r="X20" s="127"/>
      <c r="Y20" s="127"/>
      <c r="Z20" s="12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M21" s="127"/>
      <c r="N21" s="141"/>
      <c r="O21" s="141">
        <v>500</v>
      </c>
      <c r="P21" s="141"/>
      <c r="Q21" s="141"/>
      <c r="R21" s="141"/>
      <c r="S21" s="141"/>
      <c r="T21" s="127"/>
      <c r="U21" s="127"/>
      <c r="V21" s="127"/>
      <c r="W21" s="127"/>
      <c r="X21" s="127"/>
      <c r="Y21" s="127"/>
      <c r="Z21" s="12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M22" s="127"/>
      <c r="N22" s="141" t="s">
        <v>135</v>
      </c>
      <c r="O22" s="141">
        <v>120</v>
      </c>
      <c r="P22" s="170">
        <f>O22/3.785412</f>
        <v>31.700644474102159</v>
      </c>
      <c r="Q22" s="141" t="s">
        <v>87</v>
      </c>
      <c r="R22" s="141"/>
      <c r="S22" s="141"/>
      <c r="T22" s="127"/>
      <c r="U22" s="127"/>
      <c r="V22" s="127"/>
      <c r="W22" s="127"/>
      <c r="X22" s="127"/>
      <c r="Y22" s="127"/>
      <c r="Z22" s="12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M23" s="127"/>
      <c r="N23" s="141" t="s">
        <v>135</v>
      </c>
      <c r="O23" s="141">
        <v>1400</v>
      </c>
      <c r="P23" s="170">
        <f>3*1.341022</f>
        <v>4.023066</v>
      </c>
      <c r="Q23" s="141" t="s">
        <v>136</v>
      </c>
      <c r="R23" s="141"/>
      <c r="S23" s="141"/>
      <c r="T23" s="127"/>
      <c r="U23" s="127"/>
      <c r="V23" s="127"/>
      <c r="W23" s="127"/>
      <c r="X23" s="127"/>
      <c r="Y23" s="127"/>
      <c r="Z23" s="12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M24" s="127"/>
      <c r="N24" s="141" t="s">
        <v>135</v>
      </c>
      <c r="O24" s="141">
        <v>10</v>
      </c>
      <c r="P24" s="170">
        <f>O24*3.28083</f>
        <v>32.808300000000003</v>
      </c>
      <c r="Q24" s="141" t="s">
        <v>18</v>
      </c>
      <c r="R24" s="141"/>
      <c r="S24" s="141"/>
      <c r="T24" s="127"/>
      <c r="U24" s="127"/>
      <c r="V24" s="127"/>
      <c r="W24" s="127"/>
      <c r="X24" s="127"/>
      <c r="Y24" s="127"/>
      <c r="Z24" s="12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M25" s="127"/>
      <c r="N25" s="141"/>
      <c r="O25" s="141"/>
      <c r="P25" s="141"/>
      <c r="Q25" s="141"/>
      <c r="R25" s="141"/>
      <c r="S25" s="141"/>
      <c r="T25" s="127"/>
      <c r="U25" s="127"/>
      <c r="V25" s="127"/>
      <c r="W25" s="127"/>
      <c r="X25" s="127"/>
      <c r="Y25" s="127"/>
      <c r="Z25" s="12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M26" s="127"/>
      <c r="N26" s="141"/>
      <c r="O26" s="141"/>
      <c r="P26" s="141"/>
      <c r="Q26" s="141"/>
      <c r="R26" s="141"/>
      <c r="S26" s="141"/>
      <c r="T26" s="127"/>
      <c r="U26" s="127"/>
      <c r="V26" s="127"/>
      <c r="W26" s="127"/>
      <c r="X26" s="127"/>
      <c r="Y26" s="127"/>
      <c r="Z26" s="12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">
      <c r="A27" s="40"/>
      <c r="B27" s="40"/>
      <c r="C27" s="40"/>
      <c r="D27" s="40"/>
      <c r="E27" s="40"/>
      <c r="G27" s="40"/>
      <c r="H27" s="17"/>
      <c r="I27" s="17"/>
      <c r="J27" s="17"/>
      <c r="M27" s="127"/>
      <c r="N27" s="169">
        <v>0</v>
      </c>
      <c r="O27" s="141">
        <v>0</v>
      </c>
      <c r="P27" s="171">
        <v>0</v>
      </c>
      <c r="Q27" s="141">
        <v>0</v>
      </c>
      <c r="R27" s="141">
        <v>0</v>
      </c>
      <c r="S27" s="141"/>
      <c r="T27" s="127"/>
      <c r="U27" s="127"/>
      <c r="V27" s="127"/>
      <c r="W27" s="127"/>
      <c r="X27" s="127"/>
      <c r="Y27" s="127"/>
      <c r="Z27" s="12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M28" s="127"/>
      <c r="N28" s="170" t="str">
        <f>IF('MP-CP'!X19&lt;O21,"0 / 0","0-max")</f>
        <v>0 / 0</v>
      </c>
      <c r="O28" s="169">
        <f>'MP-CP'!D214</f>
        <v>1400</v>
      </c>
      <c r="P28" s="171">
        <f>'MP-CP'!D234</f>
        <v>1.289120105471615</v>
      </c>
      <c r="Q28" s="169">
        <f>O28</f>
        <v>1400</v>
      </c>
      <c r="R28" s="170">
        <f>'MP-CP'!D194</f>
        <v>116.2</v>
      </c>
      <c r="S28" s="141"/>
      <c r="T28" s="127"/>
      <c r="U28" s="127"/>
      <c r="V28" s="127"/>
      <c r="W28" s="127"/>
      <c r="X28" s="127"/>
      <c r="Y28" s="127"/>
      <c r="Z28" s="12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M29" s="127"/>
      <c r="N29" s="170" t="s">
        <v>137</v>
      </c>
      <c r="O29" s="141">
        <v>0</v>
      </c>
      <c r="P29" s="171">
        <v>0</v>
      </c>
      <c r="Q29" s="169" t="str">
        <f>IF(N30=" ","N/A",'MP-CP'!D175)</f>
        <v>N/A</v>
      </c>
      <c r="R29" s="141">
        <v>0</v>
      </c>
      <c r="S29" s="141"/>
      <c r="T29" s="127"/>
      <c r="U29" s="127"/>
      <c r="V29" s="127"/>
      <c r="W29" s="127"/>
      <c r="X29" s="127"/>
      <c r="Y29" s="127"/>
      <c r="Z29" s="12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M30" s="127"/>
      <c r="N30" s="170" t="str">
        <f>IF('MP-CP'!X19&lt;O20,"1 / 15"," ")</f>
        <v xml:space="preserve"> </v>
      </c>
      <c r="O30" s="169">
        <f>'MP-CP'!D215</f>
        <v>1400</v>
      </c>
      <c r="P30" s="171">
        <f>'MP-CP'!D235</f>
        <v>1.509900105471615</v>
      </c>
      <c r="Q30" s="169">
        <f>O30</f>
        <v>1400</v>
      </c>
      <c r="R30" s="170" t="str">
        <f>IF(N30=" ","N/A",'MP-CP'!D195)</f>
        <v>N/A</v>
      </c>
      <c r="S30" s="141"/>
      <c r="T30" s="127"/>
      <c r="U30" s="127"/>
      <c r="V30" s="127"/>
      <c r="W30" s="127"/>
      <c r="X30" s="127"/>
      <c r="Y30" s="127"/>
      <c r="Z30" s="12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">
      <c r="A31" s="40"/>
      <c r="B31" s="40"/>
      <c r="C31" s="17"/>
      <c r="D31" s="17"/>
      <c r="E31" s="17"/>
      <c r="F31" s="17"/>
      <c r="G31" s="17"/>
      <c r="H31" s="17"/>
      <c r="I31" s="17"/>
      <c r="J31" s="17"/>
      <c r="M31" s="127"/>
      <c r="N31" s="192" t="s">
        <v>144</v>
      </c>
      <c r="O31" s="169">
        <v>0</v>
      </c>
      <c r="P31" s="171">
        <v>0</v>
      </c>
      <c r="Q31" s="169" t="str">
        <f>IF(N32=" ","N/A",'MP-CP'!D176)</f>
        <v>N/A</v>
      </c>
      <c r="R31" s="141">
        <v>0</v>
      </c>
      <c r="S31" s="141"/>
      <c r="T31" s="127"/>
      <c r="U31" s="127"/>
      <c r="V31" s="127"/>
      <c r="W31" s="127"/>
      <c r="X31" s="127"/>
      <c r="Y31" s="127"/>
      <c r="Z31" s="12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">
      <c r="A32" s="40"/>
      <c r="B32" s="40"/>
      <c r="C32" s="17"/>
      <c r="D32" s="17"/>
      <c r="E32" s="17"/>
      <c r="F32" s="17"/>
      <c r="G32" s="17"/>
      <c r="H32" s="17"/>
      <c r="I32" s="17"/>
      <c r="J32" s="17"/>
      <c r="M32" s="127"/>
      <c r="N32" s="170" t="str">
        <f>IF('MP-CP'!X19&lt;O18,"2 / 30"," ")</f>
        <v xml:space="preserve"> </v>
      </c>
      <c r="O32" s="169">
        <f>'MP-CP'!D216</f>
        <v>1400</v>
      </c>
      <c r="P32" s="171">
        <f>'MP-CP'!D236</f>
        <v>1.730680105471615</v>
      </c>
      <c r="Q32" s="169">
        <f>O32</f>
        <v>1400</v>
      </c>
      <c r="R32" s="170" t="str">
        <f>IF(N32=" ","N/A",'MP-CP'!D196)</f>
        <v>N/A</v>
      </c>
      <c r="S32" s="141"/>
      <c r="T32" s="127"/>
      <c r="U32" s="127"/>
      <c r="V32" s="127"/>
      <c r="W32" s="127"/>
      <c r="X32" s="127"/>
      <c r="Y32" s="127"/>
      <c r="Z32" s="12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M33" s="127"/>
      <c r="N33" s="192" t="s">
        <v>145</v>
      </c>
      <c r="O33" s="169">
        <v>0</v>
      </c>
      <c r="P33" s="171">
        <v>0</v>
      </c>
      <c r="Q33" s="169" t="str">
        <f>IF(N34=" ","N/A",'MP-CP'!D178)</f>
        <v>N/A</v>
      </c>
      <c r="R33" s="141">
        <v>0</v>
      </c>
      <c r="S33" s="141"/>
      <c r="T33" s="127"/>
      <c r="U33" s="127"/>
      <c r="V33" s="127"/>
      <c r="W33" s="127"/>
      <c r="X33" s="127"/>
      <c r="Y33" s="127"/>
      <c r="Z33" s="12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M34" s="127"/>
      <c r="N34" s="170" t="str">
        <f>IF('MP-CP'!X19&lt;O20,"4 / 60"," ")</f>
        <v xml:space="preserve"> </v>
      </c>
      <c r="O34" s="169">
        <f>'MP-CP'!D218</f>
        <v>1400</v>
      </c>
      <c r="P34" s="171">
        <f>'MP-CP'!D238</f>
        <v>2.1722401054716154</v>
      </c>
      <c r="Q34" s="169">
        <f>O34</f>
        <v>1400</v>
      </c>
      <c r="R34" s="170" t="str">
        <f>IF(N34=" ","N/A",'MP-CP'!D198)</f>
        <v>N/A</v>
      </c>
      <c r="S34" s="141"/>
      <c r="T34" s="127"/>
      <c r="U34" s="127"/>
      <c r="V34" s="127"/>
      <c r="W34" s="127"/>
      <c r="X34" s="127"/>
      <c r="Y34" s="127"/>
      <c r="Z34" s="12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M35" s="127"/>
      <c r="N35" s="192" t="s">
        <v>147</v>
      </c>
      <c r="O35" s="169">
        <v>0</v>
      </c>
      <c r="P35" s="171">
        <v>0</v>
      </c>
      <c r="Q35" s="169" t="str">
        <f>IF(N36=" ","N/A",'MP-CP'!D180)</f>
        <v>N/A</v>
      </c>
      <c r="R35" s="141">
        <v>0</v>
      </c>
      <c r="S35" s="141"/>
      <c r="T35" s="127"/>
      <c r="U35" s="127"/>
      <c r="V35" s="127"/>
      <c r="W35" s="127"/>
      <c r="X35" s="127"/>
      <c r="Y35" s="127"/>
      <c r="Z35" s="12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M36" s="127"/>
      <c r="N36" s="170" t="str">
        <f>IF('MP-CP'!X19&lt;O18,"6 / 90"," ")</f>
        <v xml:space="preserve"> </v>
      </c>
      <c r="O36" s="169">
        <f>'MP-CP'!D220</f>
        <v>1320</v>
      </c>
      <c r="P36" s="171">
        <f>'MP-CP'!D240</f>
        <v>2.4644400994446656</v>
      </c>
      <c r="Q36" s="169">
        <f>O36</f>
        <v>1320</v>
      </c>
      <c r="R36" s="170" t="str">
        <f>IF(N36=" ","N/A",'MP-CP'!D200)</f>
        <v>N/A</v>
      </c>
      <c r="S36" s="141"/>
      <c r="T36" s="127"/>
      <c r="U36" s="127"/>
      <c r="V36" s="127"/>
      <c r="W36" s="127"/>
      <c r="X36" s="127"/>
      <c r="Y36" s="127"/>
      <c r="Z36" s="12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M37" s="127"/>
      <c r="N37" s="192" t="s">
        <v>146</v>
      </c>
      <c r="O37" s="169">
        <v>0</v>
      </c>
      <c r="P37" s="171">
        <v>0</v>
      </c>
      <c r="Q37" s="169">
        <f>IF(N38=" ","N/A",'MP-CP'!D182)</f>
        <v>29.268166724782787</v>
      </c>
      <c r="R37" s="141">
        <v>0</v>
      </c>
      <c r="S37" s="141"/>
      <c r="T37" s="127"/>
      <c r="U37" s="127"/>
      <c r="V37" s="127"/>
      <c r="W37" s="127"/>
      <c r="X37" s="127"/>
      <c r="Y37" s="127"/>
      <c r="Z37" s="12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M38" s="127"/>
      <c r="N38" s="170" t="str">
        <f>IF('MP-CP'!X19&lt;O21,"8 / 120"," ")</f>
        <v>8 / 120</v>
      </c>
      <c r="O38" s="169">
        <f>'MP-CP'!D222</f>
        <v>1000</v>
      </c>
      <c r="P38" s="171">
        <f>'MP-CP'!D242</f>
        <v>2.1824000753368678</v>
      </c>
      <c r="Q38" s="169">
        <f>O38</f>
        <v>1000</v>
      </c>
      <c r="R38" s="170">
        <f>IF(N38=" ","N/A ",'MP-CP'!D202)</f>
        <v>80.570742161843029</v>
      </c>
      <c r="S38" s="141"/>
      <c r="T38" s="127"/>
      <c r="U38" s="127"/>
      <c r="V38" s="127"/>
      <c r="W38" s="127"/>
      <c r="X38" s="127"/>
      <c r="Y38" s="127"/>
      <c r="Z38" s="12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M39" s="127"/>
      <c r="N39" s="170" t="s">
        <v>142</v>
      </c>
      <c r="O39" s="169">
        <v>0</v>
      </c>
      <c r="P39" s="171">
        <v>0</v>
      </c>
      <c r="Q39" s="169">
        <f>IF(N40=" ","N/A",'MP-CP'!D186)</f>
        <v>0</v>
      </c>
      <c r="R39" s="141">
        <v>0</v>
      </c>
      <c r="S39" s="141"/>
      <c r="T39" s="127"/>
      <c r="U39" s="127"/>
      <c r="V39" s="127"/>
      <c r="W39" s="127"/>
      <c r="X39" s="127"/>
      <c r="Y39" s="127"/>
      <c r="Z39" s="12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M40" s="127"/>
      <c r="N40" s="170" t="str">
        <f>IF('MP-CP'!X19&lt;O21,"12 / 175"," ")</f>
        <v>12 / 175</v>
      </c>
      <c r="O40" s="169">
        <f>'MP-CP'!D226</f>
        <v>0</v>
      </c>
      <c r="P40" s="171">
        <f>'MP-CP'!D246</f>
        <v>0</v>
      </c>
      <c r="Q40" s="169">
        <f>O40</f>
        <v>0</v>
      </c>
      <c r="R40" s="170">
        <f>IF(N40=" ","N/A",'MP-CP'!D206)</f>
        <v>0</v>
      </c>
      <c r="S40" s="141"/>
      <c r="T40" s="127"/>
      <c r="U40" s="127"/>
      <c r="V40" s="127"/>
      <c r="W40" s="127"/>
      <c r="X40" s="127"/>
      <c r="Y40" s="127"/>
      <c r="Z40" s="12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M41" s="127"/>
      <c r="N41" s="141" t="s">
        <v>102</v>
      </c>
      <c r="O41" s="169">
        <f>O6</f>
        <v>814</v>
      </c>
      <c r="P41" s="170">
        <f>ROUND('MP-CP'!D26,1)</f>
        <v>1.6</v>
      </c>
      <c r="Q41" s="141"/>
      <c r="R41" s="141"/>
      <c r="S41" s="141"/>
      <c r="T41" s="127"/>
      <c r="U41" s="127"/>
      <c r="V41" s="127"/>
      <c r="W41" s="127"/>
      <c r="X41" s="127"/>
      <c r="Y41" s="127"/>
      <c r="Z41" s="12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M42" s="127"/>
      <c r="N42" s="127"/>
      <c r="O42" s="127"/>
      <c r="P42" s="191">
        <f>'MP-CP'!D96</f>
        <v>2.6142592358143673</v>
      </c>
      <c r="Q42" s="127"/>
      <c r="R42" s="127"/>
      <c r="S42" s="141"/>
      <c r="T42" s="127"/>
      <c r="U42" s="127"/>
      <c r="V42" s="127"/>
      <c r="W42" s="127"/>
      <c r="X42" s="127"/>
      <c r="Y42" s="127"/>
      <c r="Z42" s="12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M43" s="127"/>
      <c r="N43" s="127"/>
      <c r="O43" s="127"/>
      <c r="P43" s="127"/>
      <c r="Q43" s="127"/>
      <c r="R43" s="127"/>
      <c r="S43" s="141"/>
      <c r="T43" s="127"/>
      <c r="U43" s="127"/>
      <c r="V43" s="127"/>
      <c r="W43" s="127"/>
      <c r="X43" s="127"/>
      <c r="Y43" s="127"/>
      <c r="Z43" s="12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M44" s="127"/>
      <c r="N44" s="127"/>
      <c r="O44" s="127"/>
      <c r="P44" s="127"/>
      <c r="Q44" s="127"/>
      <c r="R44" s="127"/>
      <c r="S44" s="141"/>
      <c r="T44" s="127"/>
      <c r="U44" s="127"/>
      <c r="V44" s="127"/>
      <c r="W44" s="127"/>
      <c r="X44" s="127"/>
      <c r="Y44" s="127"/>
      <c r="Z44" s="12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M45" s="127"/>
      <c r="N45" s="127"/>
      <c r="O45" s="127"/>
      <c r="P45" s="127"/>
      <c r="Q45" s="127"/>
      <c r="R45" s="127"/>
      <c r="S45" s="141"/>
      <c r="T45" s="127"/>
      <c r="U45" s="127"/>
      <c r="V45" s="127"/>
      <c r="W45" s="127"/>
      <c r="X45" s="127"/>
      <c r="Y45" s="127"/>
      <c r="Z45" s="12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M46" s="127"/>
      <c r="N46" s="141"/>
      <c r="O46" s="141"/>
      <c r="P46" s="141"/>
      <c r="Q46" s="141"/>
      <c r="R46" s="141"/>
      <c r="S46" s="141"/>
      <c r="T46" s="127"/>
      <c r="U46" s="127"/>
      <c r="V46" s="127"/>
      <c r="W46" s="127"/>
      <c r="X46" s="127"/>
      <c r="Y46" s="127"/>
      <c r="Z46" s="12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7"/>
      <c r="AB48" s="17"/>
      <c r="AC48" s="17"/>
      <c r="AD48" s="17"/>
      <c r="AE48" s="17"/>
      <c r="AF48" s="17"/>
      <c r="AG48" s="17"/>
      <c r="AH48" s="17"/>
    </row>
    <row r="49" spans="1:34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"/>
      <c r="AB49" s="17"/>
      <c r="AC49" s="17"/>
      <c r="AD49" s="17"/>
      <c r="AE49" s="17"/>
      <c r="AF49" s="17"/>
      <c r="AG49" s="17"/>
      <c r="AH49" s="17"/>
    </row>
    <row r="50" spans="1:34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7"/>
      <c r="AB50" s="17"/>
      <c r="AC50" s="17"/>
      <c r="AD50" s="17"/>
      <c r="AE50" s="17"/>
      <c r="AF50" s="17"/>
      <c r="AG50" s="17"/>
      <c r="AH50" s="17"/>
    </row>
    <row r="51" spans="1:34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7"/>
      <c r="AB52" s="17"/>
      <c r="AC52" s="17"/>
      <c r="AD52" s="17"/>
      <c r="AE52" s="17"/>
      <c r="AF52" s="17"/>
      <c r="AG52" s="17"/>
      <c r="AH52" s="17"/>
    </row>
    <row r="53" spans="1:34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7"/>
      <c r="AB53" s="17"/>
      <c r="AC53" s="17"/>
      <c r="AD53" s="17"/>
      <c r="AE53" s="17"/>
      <c r="AF53" s="17"/>
      <c r="AG53" s="17"/>
      <c r="AH53" s="17"/>
    </row>
    <row r="54" spans="1:34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7"/>
      <c r="AB54" s="17"/>
      <c r="AC54" s="17"/>
      <c r="AD54" s="17"/>
      <c r="AE54" s="17"/>
      <c r="AF54" s="17"/>
      <c r="AG54" s="17"/>
      <c r="AH54" s="17"/>
    </row>
    <row r="55" spans="1:34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7"/>
      <c r="AB55" s="17"/>
      <c r="AC55" s="17"/>
      <c r="AD55" s="17"/>
      <c r="AE55" s="17"/>
      <c r="AF55" s="17"/>
      <c r="AG55" s="17"/>
      <c r="AH55" s="17"/>
    </row>
    <row r="56" spans="1:34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4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x14ac:dyDescent="0.2">
      <c r="K61" s="127"/>
      <c r="L61" s="127"/>
      <c r="M61" s="127"/>
      <c r="N61" s="102"/>
      <c r="O61" s="147"/>
      <c r="P61" s="147"/>
      <c r="Q61" s="147"/>
      <c r="R61" s="147"/>
      <c r="S61" s="147"/>
      <c r="T61" s="147"/>
      <c r="U61" s="127"/>
      <c r="V61" s="127"/>
      <c r="W61" s="127"/>
      <c r="X61" s="127"/>
      <c r="Y61" s="127"/>
      <c r="Z61" s="17"/>
      <c r="AA61" s="17"/>
      <c r="AB61" s="17"/>
      <c r="AC61" s="17"/>
      <c r="AD61" s="17"/>
      <c r="AE61" s="17"/>
      <c r="AF61" s="17"/>
      <c r="AG61" s="17"/>
      <c r="AH61" s="17"/>
    </row>
  </sheetData>
  <sheetProtection selectLockedCells="1"/>
  <mergeCells count="3">
    <mergeCell ref="E2:H2"/>
    <mergeCell ref="K3:L4"/>
    <mergeCell ref="E4:H4"/>
  </mergeCells>
  <hyperlinks>
    <hyperlink ref="K3:L4" location="'MP-CP'!C9" tooltip="Return" display="Return to Selector"/>
  </hyperlinks>
  <printOptions horizontalCentered="1" verticalCentered="1"/>
  <pageMargins left="0" right="0" top="0.98425196850393704" bottom="0.98425196850393704" header="0.51181102362204722" footer="0.51181102362204722"/>
  <pageSetup paperSize="9" orientation="portrait" horizontalDpi="4294967293"/>
  <headerFooter alignWithMargins="0"/>
  <ignoredErrors>
    <ignoredError sqref="Q29:R39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65</vt:i4>
      </vt:variant>
      <vt:variant>
        <vt:lpstr>Rangos con nombre</vt:lpstr>
      </vt:variant>
      <vt:variant>
        <vt:i4>65</vt:i4>
      </vt:variant>
    </vt:vector>
  </HeadingPairs>
  <TitlesOfParts>
    <vt:vector size="130" baseType="lpstr">
      <vt:lpstr>MP-CP</vt:lpstr>
      <vt:lpstr>100005G1</vt:lpstr>
      <vt:lpstr>100005G2</vt:lpstr>
      <vt:lpstr>100005G3</vt:lpstr>
      <vt:lpstr>100005G4</vt:lpstr>
      <vt:lpstr>100005G5</vt:lpstr>
      <vt:lpstr>100005G6</vt:lpstr>
      <vt:lpstr>100008G1</vt:lpstr>
      <vt:lpstr>100008G2</vt:lpstr>
      <vt:lpstr>100008G3</vt:lpstr>
      <vt:lpstr>100008G4</vt:lpstr>
      <vt:lpstr>100008G5</vt:lpstr>
      <vt:lpstr>100008G6</vt:lpstr>
      <vt:lpstr>100011G1</vt:lpstr>
      <vt:lpstr>100011G2</vt:lpstr>
      <vt:lpstr>100011G3</vt:lpstr>
      <vt:lpstr>100011G4</vt:lpstr>
      <vt:lpstr>100011G5</vt:lpstr>
      <vt:lpstr>100011G6</vt:lpstr>
      <vt:lpstr>200020G1</vt:lpstr>
      <vt:lpstr>200020G2</vt:lpstr>
      <vt:lpstr>200020G3</vt:lpstr>
      <vt:lpstr>200020G4</vt:lpstr>
      <vt:lpstr>200020G5</vt:lpstr>
      <vt:lpstr>200020G6</vt:lpstr>
      <vt:lpstr>200031G1</vt:lpstr>
      <vt:lpstr>200031G2</vt:lpstr>
      <vt:lpstr>200031G3</vt:lpstr>
      <vt:lpstr>200031G4</vt:lpstr>
      <vt:lpstr>200031G5</vt:lpstr>
      <vt:lpstr>200031G6</vt:lpstr>
      <vt:lpstr>300069G1</vt:lpstr>
      <vt:lpstr>300069G2</vt:lpstr>
      <vt:lpstr>300069G3</vt:lpstr>
      <vt:lpstr>300069G4</vt:lpstr>
      <vt:lpstr>300069G5</vt:lpstr>
      <vt:lpstr>300069G6</vt:lpstr>
      <vt:lpstr>300113G1</vt:lpstr>
      <vt:lpstr>300113G2</vt:lpstr>
      <vt:lpstr>300113G3</vt:lpstr>
      <vt:lpstr>300113G4</vt:lpstr>
      <vt:lpstr>300113G5</vt:lpstr>
      <vt:lpstr>300113G6</vt:lpstr>
      <vt:lpstr>400180G1</vt:lpstr>
      <vt:lpstr>400180G2</vt:lpstr>
      <vt:lpstr>400180G3</vt:lpstr>
      <vt:lpstr>400180G4</vt:lpstr>
      <vt:lpstr>400180G5</vt:lpstr>
      <vt:lpstr>400180G6</vt:lpstr>
      <vt:lpstr>400250G1</vt:lpstr>
      <vt:lpstr>400250G2</vt:lpstr>
      <vt:lpstr>400250G3</vt:lpstr>
      <vt:lpstr>400250G4</vt:lpstr>
      <vt:lpstr>400250G5</vt:lpstr>
      <vt:lpstr>400250G6</vt:lpstr>
      <vt:lpstr>500351G1</vt:lpstr>
      <vt:lpstr>500351G2</vt:lpstr>
      <vt:lpstr>500351G3</vt:lpstr>
      <vt:lpstr>500351G4</vt:lpstr>
      <vt:lpstr>500525G1</vt:lpstr>
      <vt:lpstr>500525G2</vt:lpstr>
      <vt:lpstr>500525G3</vt:lpstr>
      <vt:lpstr>500525G4</vt:lpstr>
      <vt:lpstr>500525G5</vt:lpstr>
      <vt:lpstr>500525G6</vt:lpstr>
      <vt:lpstr>'100005G1'!Área_de_impresión</vt:lpstr>
      <vt:lpstr>'100005G2'!Área_de_impresión</vt:lpstr>
      <vt:lpstr>'100005G3'!Área_de_impresión</vt:lpstr>
      <vt:lpstr>'100005G4'!Área_de_impresión</vt:lpstr>
      <vt:lpstr>'100005G5'!Área_de_impresión</vt:lpstr>
      <vt:lpstr>'100005G6'!Área_de_impresión</vt:lpstr>
      <vt:lpstr>'100008G1'!Área_de_impresión</vt:lpstr>
      <vt:lpstr>'100008G2'!Área_de_impresión</vt:lpstr>
      <vt:lpstr>'100008G3'!Área_de_impresión</vt:lpstr>
      <vt:lpstr>'100008G4'!Área_de_impresión</vt:lpstr>
      <vt:lpstr>'100008G5'!Área_de_impresión</vt:lpstr>
      <vt:lpstr>'100008G6'!Área_de_impresión</vt:lpstr>
      <vt:lpstr>'100011G1'!Área_de_impresión</vt:lpstr>
      <vt:lpstr>'100011G2'!Área_de_impresión</vt:lpstr>
      <vt:lpstr>'100011G3'!Área_de_impresión</vt:lpstr>
      <vt:lpstr>'100011G4'!Área_de_impresión</vt:lpstr>
      <vt:lpstr>'100011G5'!Área_de_impresión</vt:lpstr>
      <vt:lpstr>'100011G6'!Área_de_impresión</vt:lpstr>
      <vt:lpstr>'200020G1'!Área_de_impresión</vt:lpstr>
      <vt:lpstr>'200020G2'!Área_de_impresión</vt:lpstr>
      <vt:lpstr>'200020G3'!Área_de_impresión</vt:lpstr>
      <vt:lpstr>'200020G4'!Área_de_impresión</vt:lpstr>
      <vt:lpstr>'200020G5'!Área_de_impresión</vt:lpstr>
      <vt:lpstr>'200020G6'!Área_de_impresión</vt:lpstr>
      <vt:lpstr>'200031G1'!Área_de_impresión</vt:lpstr>
      <vt:lpstr>'200031G2'!Área_de_impresión</vt:lpstr>
      <vt:lpstr>'200031G3'!Área_de_impresión</vt:lpstr>
      <vt:lpstr>'200031G4'!Área_de_impresión</vt:lpstr>
      <vt:lpstr>'200031G5'!Área_de_impresión</vt:lpstr>
      <vt:lpstr>'200031G6'!Área_de_impresión</vt:lpstr>
      <vt:lpstr>'300069G1'!Área_de_impresión</vt:lpstr>
      <vt:lpstr>'300069G2'!Área_de_impresión</vt:lpstr>
      <vt:lpstr>'300069G3'!Área_de_impresión</vt:lpstr>
      <vt:lpstr>'300069G4'!Área_de_impresión</vt:lpstr>
      <vt:lpstr>'300069G5'!Área_de_impresión</vt:lpstr>
      <vt:lpstr>'300069G6'!Área_de_impresión</vt:lpstr>
      <vt:lpstr>'300113G1'!Área_de_impresión</vt:lpstr>
      <vt:lpstr>'300113G2'!Área_de_impresión</vt:lpstr>
      <vt:lpstr>'300113G3'!Área_de_impresión</vt:lpstr>
      <vt:lpstr>'300113G4'!Área_de_impresión</vt:lpstr>
      <vt:lpstr>'300113G5'!Área_de_impresión</vt:lpstr>
      <vt:lpstr>'300113G6'!Área_de_impresión</vt:lpstr>
      <vt:lpstr>'400180G1'!Área_de_impresión</vt:lpstr>
      <vt:lpstr>'400180G2'!Área_de_impresión</vt:lpstr>
      <vt:lpstr>'400180G3'!Área_de_impresión</vt:lpstr>
      <vt:lpstr>'400180G4'!Área_de_impresión</vt:lpstr>
      <vt:lpstr>'400180G5'!Área_de_impresión</vt:lpstr>
      <vt:lpstr>'400180G6'!Área_de_impresión</vt:lpstr>
      <vt:lpstr>'400250G1'!Área_de_impresión</vt:lpstr>
      <vt:lpstr>'400250G2'!Área_de_impresión</vt:lpstr>
      <vt:lpstr>'400250G3'!Área_de_impresión</vt:lpstr>
      <vt:lpstr>'400250G4'!Área_de_impresión</vt:lpstr>
      <vt:lpstr>'400250G5'!Área_de_impresión</vt:lpstr>
      <vt:lpstr>'400250G6'!Área_de_impresión</vt:lpstr>
      <vt:lpstr>'500351G1'!Área_de_impresión</vt:lpstr>
      <vt:lpstr>'500351G2'!Área_de_impresión</vt:lpstr>
      <vt:lpstr>'500351G3'!Área_de_impresión</vt:lpstr>
      <vt:lpstr>'500351G4'!Área_de_impresión</vt:lpstr>
      <vt:lpstr>'500525G1'!Área_de_impresión</vt:lpstr>
      <vt:lpstr>'500525G2'!Área_de_impresión</vt:lpstr>
      <vt:lpstr>'500525G3'!Área_de_impresión</vt:lpstr>
      <vt:lpstr>'500525G4'!Área_de_impresión</vt:lpstr>
      <vt:lpstr>'500525G5'!Área_de_impresión</vt:lpstr>
      <vt:lpstr>'500525G6'!Área_de_impresión</vt:lpstr>
      <vt:lpstr>'MP-CP'!Área_de_impresión</vt:lpstr>
    </vt:vector>
  </TitlesOfParts>
  <Company>Johnson Pump (UK)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Allen</dc:creator>
  <cp:lastModifiedBy>TOSHIBA</cp:lastModifiedBy>
  <cp:lastPrinted>2015-03-13T23:30:01Z</cp:lastPrinted>
  <dcterms:created xsi:type="dcterms:W3CDTF">2002-04-10T07:51:15Z</dcterms:created>
  <dcterms:modified xsi:type="dcterms:W3CDTF">2015-03-13T23:50:25Z</dcterms:modified>
</cp:coreProperties>
</file>